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hristian\Downloads\"/>
    </mc:Choice>
  </mc:AlternateContent>
  <xr:revisionPtr revIDLastSave="0" documentId="13_ncr:1_{E2AF6EE4-5C25-4653-972A-B6F59FD7FCD4}" xr6:coauthVersionLast="47" xr6:coauthVersionMax="47" xr10:uidLastSave="{00000000-0000-0000-0000-000000000000}"/>
  <bookViews>
    <workbookView xWindow="12615" yWindow="1425" windowWidth="37590" windowHeight="16590" activeTab="1" xr2:uid="{BE202CA9-89D1-47EF-88F3-B5F642E98928}"/>
  </bookViews>
  <sheets>
    <sheet name="Data" sheetId="1" r:id="rId1"/>
    <sheet name="Analysis" sheetId="2" r:id="rId2"/>
    <sheet name="Dashboard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42" i="3" l="1"/>
  <c r="B40" i="3"/>
  <c r="B38" i="3"/>
  <c r="W9" i="2"/>
  <c r="W7" i="2"/>
  <c r="W5" i="2"/>
  <c r="J6" i="3"/>
  <c r="H6" i="3"/>
  <c r="F6" i="3"/>
  <c r="D6" i="3"/>
  <c r="B6" i="3"/>
  <c r="U5" i="2" a="1"/>
  <c r="U5" i="2" s="1"/>
  <c r="T5" i="2" a="1"/>
  <c r="T5" i="2" s="1"/>
  <c r="R5" i="2" a="1"/>
  <c r="R5" i="2" s="1"/>
  <c r="Q5" i="2" a="1"/>
  <c r="Q5" i="2" s="1"/>
  <c r="P5" i="2" a="1"/>
  <c r="P5" i="2" s="1"/>
  <c r="N5" i="2" a="1"/>
  <c r="N5" i="2" s="1"/>
  <c r="M5" i="2" a="1"/>
  <c r="M5" i="2" s="1"/>
  <c r="K38" i="2"/>
  <c r="J38" i="2"/>
  <c r="I38" i="2"/>
  <c r="H38" i="2"/>
  <c r="K37" i="2"/>
  <c r="J37" i="2"/>
  <c r="H37" i="2"/>
  <c r="I37" i="2" s="1"/>
  <c r="K36" i="2"/>
  <c r="J36" i="2"/>
  <c r="H36" i="2"/>
  <c r="I36" i="2" s="1"/>
  <c r="K35" i="2"/>
  <c r="J35" i="2"/>
  <c r="H35" i="2"/>
  <c r="I35" i="2" s="1"/>
  <c r="K34" i="2"/>
  <c r="J34" i="2"/>
  <c r="H34" i="2"/>
  <c r="I34" i="2" s="1"/>
  <c r="K33" i="2"/>
  <c r="J33" i="2"/>
  <c r="H33" i="2"/>
  <c r="I33" i="2" s="1"/>
  <c r="K32" i="2"/>
  <c r="J32" i="2"/>
  <c r="H32" i="2"/>
  <c r="I32" i="2" s="1"/>
  <c r="K31" i="2"/>
  <c r="J31" i="2"/>
  <c r="H31" i="2"/>
  <c r="I31" i="2" s="1"/>
  <c r="K30" i="2"/>
  <c r="J30" i="2"/>
  <c r="H30" i="2"/>
  <c r="I30" i="2" s="1"/>
  <c r="K29" i="2"/>
  <c r="J29" i="2"/>
  <c r="H29" i="2"/>
  <c r="I29" i="2" s="1"/>
  <c r="K28" i="2"/>
  <c r="J28" i="2"/>
  <c r="I28" i="2"/>
  <c r="H28" i="2"/>
  <c r="K24" i="2"/>
  <c r="J24" i="2"/>
  <c r="I24" i="2"/>
  <c r="H24" i="2"/>
  <c r="K23" i="2"/>
  <c r="J23" i="2"/>
  <c r="H23" i="2"/>
  <c r="I23" i="2" s="1"/>
  <c r="K22" i="2"/>
  <c r="J22" i="2"/>
  <c r="H22" i="2"/>
  <c r="I22" i="2" s="1"/>
  <c r="K21" i="2"/>
  <c r="J21" i="2"/>
  <c r="H21" i="2"/>
  <c r="I21" i="2" s="1"/>
  <c r="K20" i="2"/>
  <c r="J20" i="2"/>
  <c r="I20" i="2"/>
  <c r="H20" i="2"/>
  <c r="K16" i="2"/>
  <c r="J16" i="2"/>
  <c r="I16" i="2"/>
  <c r="H16" i="2"/>
  <c r="K15" i="2"/>
  <c r="J15" i="2"/>
  <c r="H15" i="2"/>
  <c r="I15" i="2" s="1"/>
  <c r="K14" i="2"/>
  <c r="J14" i="2"/>
  <c r="H14" i="2"/>
  <c r="I14" i="2" s="1"/>
  <c r="K13" i="2"/>
  <c r="J13" i="2"/>
  <c r="H13" i="2"/>
  <c r="I13" i="2" s="1"/>
  <c r="K12" i="2"/>
  <c r="J12" i="2"/>
  <c r="H12" i="2"/>
  <c r="I12" i="2" s="1"/>
  <c r="K11" i="2"/>
  <c r="J11" i="2"/>
  <c r="H11" i="2"/>
  <c r="I11" i="2" s="1"/>
  <c r="K10" i="2"/>
  <c r="J10" i="2"/>
  <c r="H10" i="2"/>
  <c r="I10" i="2" s="1"/>
  <c r="K9" i="2"/>
  <c r="J9" i="2"/>
  <c r="H9" i="2"/>
  <c r="I9" i="2" s="1"/>
  <c r="K8" i="2"/>
  <c r="J8" i="2"/>
  <c r="H8" i="2"/>
  <c r="I8" i="2" s="1"/>
  <c r="K7" i="2"/>
  <c r="J7" i="2"/>
  <c r="H7" i="2"/>
  <c r="I7" i="2" s="1"/>
  <c r="K6" i="2"/>
  <c r="J6" i="2"/>
  <c r="I6" i="2"/>
  <c r="H6" i="2"/>
  <c r="E30" i="2"/>
  <c r="D30" i="2"/>
  <c r="C30" i="2"/>
  <c r="B30" i="2"/>
  <c r="E29" i="2"/>
  <c r="D29" i="2"/>
  <c r="B29" i="2"/>
  <c r="E28" i="2"/>
  <c r="D28" i="2"/>
  <c r="B28" i="2"/>
  <c r="E27" i="2"/>
  <c r="D27" i="2"/>
  <c r="B27" i="2"/>
  <c r="E26" i="2"/>
  <c r="D26" i="2"/>
  <c r="B26" i="2"/>
  <c r="C26" i="2" s="1"/>
  <c r="E25" i="2"/>
  <c r="D25" i="2"/>
  <c r="B25" i="2"/>
  <c r="C25" i="2" s="1"/>
  <c r="E24" i="2"/>
  <c r="D24" i="2"/>
  <c r="B24" i="2"/>
  <c r="E23" i="2"/>
  <c r="D23" i="2"/>
  <c r="B23" i="2"/>
  <c r="E22" i="2"/>
  <c r="D22" i="2"/>
  <c r="B22" i="2"/>
  <c r="E21" i="2"/>
  <c r="D21" i="2"/>
  <c r="B21" i="2"/>
  <c r="C21" i="2" s="1"/>
  <c r="E20" i="2"/>
  <c r="D20" i="2"/>
  <c r="B20" i="2"/>
  <c r="C20" i="2" s="1"/>
  <c r="E19" i="2"/>
  <c r="D19" i="2"/>
  <c r="B19" i="2"/>
  <c r="E18" i="2"/>
  <c r="D18" i="2"/>
  <c r="B18" i="2"/>
  <c r="E17" i="2"/>
  <c r="D17" i="2"/>
  <c r="B17" i="2"/>
  <c r="E16" i="2"/>
  <c r="D16" i="2"/>
  <c r="B16" i="2"/>
  <c r="C16" i="2" s="1"/>
  <c r="E15" i="2"/>
  <c r="D15" i="2"/>
  <c r="B15" i="2"/>
  <c r="C15" i="2" s="1"/>
  <c r="E14" i="2"/>
  <c r="D14" i="2"/>
  <c r="B14" i="2"/>
  <c r="E13" i="2"/>
  <c r="D13" i="2"/>
  <c r="B13" i="2"/>
  <c r="E12" i="2"/>
  <c r="D12" i="2"/>
  <c r="B12" i="2"/>
  <c r="E11" i="2"/>
  <c r="D11" i="2"/>
  <c r="B11" i="2"/>
  <c r="C11" i="2" s="1"/>
  <c r="E10" i="2"/>
  <c r="D10" i="2"/>
  <c r="B10" i="2"/>
  <c r="C10" i="2" s="1"/>
  <c r="E9" i="2"/>
  <c r="D9" i="2"/>
  <c r="B9" i="2"/>
  <c r="C9" i="2" s="1"/>
  <c r="E8" i="2"/>
  <c r="D8" i="2"/>
  <c r="B8" i="2"/>
  <c r="E7" i="2"/>
  <c r="D7" i="2"/>
  <c r="B7" i="2"/>
  <c r="E6" i="2"/>
  <c r="D6" i="2"/>
  <c r="B6" i="2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2" i="1"/>
  <c r="C28" i="2" l="1"/>
  <c r="C27" i="2"/>
  <c r="C22" i="2"/>
  <c r="C17" i="2"/>
  <c r="C12" i="2"/>
  <c r="C7" i="2"/>
  <c r="C23" i="2"/>
  <c r="C18" i="2"/>
  <c r="C24" i="2"/>
  <c r="C6" i="2"/>
  <c r="C13" i="2"/>
  <c r="C29" i="2"/>
  <c r="C8" i="2"/>
  <c r="C19" i="2"/>
  <c r="C1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<sst xmlns="http://schemas.openxmlformats.org/spreadsheetml/2006/main" count="533" uniqueCount="222">
  <si>
    <t>Client Name</t>
  </si>
  <si>
    <t>Region</t>
  </si>
  <si>
    <t>Client Type</t>
  </si>
  <si>
    <t>Revenue Contribution (USD mm)</t>
  </si>
  <si>
    <t>YTD Return %</t>
  </si>
  <si>
    <t>AUM (USD bn)</t>
  </si>
  <si>
    <t>Primary Product</t>
  </si>
  <si>
    <t>Relationship Tier</t>
  </si>
  <si>
    <t>Onboarded</t>
  </si>
  <si>
    <t>Notes</t>
  </si>
  <si>
    <t>Norinchukin Bank</t>
  </si>
  <si>
    <t>Japan</t>
  </si>
  <si>
    <t>Bank Treasury</t>
  </si>
  <si>
    <t>Rates</t>
  </si>
  <si>
    <t>Platinum</t>
  </si>
  <si>
    <t>Large FX hedging program; renegotiating fees Q3</t>
  </si>
  <si>
    <t>GIC Private Limited</t>
  </si>
  <si>
    <t>Singapore</t>
  </si>
  <si>
    <t>Sovereign Wealth Fund</t>
  </si>
  <si>
    <t>Equities</t>
  </si>
  <si>
    <t>Top 3 account globally, prime broking mandate</t>
  </si>
  <si>
    <t>CalPERS</t>
  </si>
  <si>
    <t>US West</t>
  </si>
  <si>
    <t>Public Pension</t>
  </si>
  <si>
    <t>Fixed Income</t>
  </si>
  <si>
    <t>Gold</t>
  </si>
  <si>
    <t>ESG mandate, sensitive to carbon exposure</t>
  </si>
  <si>
    <t>Norges Bank Investment Mgmt</t>
  </si>
  <si>
    <t>Norway</t>
  </si>
  <si>
    <t>Largest SWF; low-touch, high-volume flow</t>
  </si>
  <si>
    <t>BlackRock</t>
  </si>
  <si>
    <t>US East</t>
  </si>
  <si>
    <t>Asset Manager</t>
  </si>
  <si>
    <t>Multi-Asset</t>
  </si>
  <si>
    <t>Aladdin integration; cross-sell derivatives</t>
  </si>
  <si>
    <t>Allianz Global Investors</t>
  </si>
  <si>
    <t>Germany</t>
  </si>
  <si>
    <t>Insurer / AM</t>
  </si>
  <si>
    <t>Credit</t>
  </si>
  <si>
    <t>Solvency II driven demand for long-dated</t>
  </si>
  <si>
    <t>Temasek Holdings</t>
  </si>
  <si>
    <t>Private Markets</t>
  </si>
  <si>
    <t>Interested in structured equity products</t>
  </si>
  <si>
    <t>Ontario Teachers' Pension</t>
  </si>
  <si>
    <t>Canada</t>
  </si>
  <si>
    <t>Infrastructure</t>
  </si>
  <si>
    <t>Direct investing team, less flow-driven</t>
  </si>
  <si>
    <t>PIMCO</t>
  </si>
  <si>
    <t>Huge rates flow, tight margins</t>
  </si>
  <si>
    <t>Abu Dhabi Investment Authority</t>
  </si>
  <si>
    <t>UAE</t>
  </si>
  <si>
    <t>Expanding EM allocation</t>
  </si>
  <si>
    <t>Vanguard Group</t>
  </si>
  <si>
    <t>Index / ETF</t>
  </si>
  <si>
    <t>Low fee, huge volume, execution only</t>
  </si>
  <si>
    <t>AustralianSuper</t>
  </si>
  <si>
    <t>Australia</t>
  </si>
  <si>
    <t>Superannuation</t>
  </si>
  <si>
    <t>Silver</t>
  </si>
  <si>
    <t>Growing fast, potential tier upgrade</t>
  </si>
  <si>
    <t>China Investment Corp</t>
  </si>
  <si>
    <t>China</t>
  </si>
  <si>
    <t>Geopolitical review flagged by compliance</t>
  </si>
  <si>
    <t>Fidelity Investments</t>
  </si>
  <si>
    <t>Strong retail-driven equity flow</t>
  </si>
  <si>
    <t>APG Asset Management</t>
  </si>
  <si>
    <t>Netherlands</t>
  </si>
  <si>
    <t>Pension AM</t>
  </si>
  <si>
    <t>LDI focus, rate sensitive</t>
  </si>
  <si>
    <t>Bridgewater Associates</t>
  </si>
  <si>
    <t>Hedge Fund</t>
  </si>
  <si>
    <t>Macro</t>
  </si>
  <si>
    <t>High-margin derivatives, big FX/rates user</t>
  </si>
  <si>
    <t>Millennium Management</t>
  </si>
  <si>
    <t>Multi-Strategy</t>
  </si>
  <si>
    <t>Very high touch, demands fast execution</t>
  </si>
  <si>
    <t>Government Pension Fund Korea</t>
  </si>
  <si>
    <t>South Korea</t>
  </si>
  <si>
    <t>Currency hedging RFP pending</t>
  </si>
  <si>
    <t>Schroders</t>
  </si>
  <si>
    <t>UK</t>
  </si>
  <si>
    <t>Mid-tier, upside in structured credit</t>
  </si>
  <si>
    <t>Future Fund</t>
  </si>
  <si>
    <t>Alternatives heavy allocation</t>
  </si>
  <si>
    <t>Legal &amp; General IM</t>
  </si>
  <si>
    <t>Pension risk transfer pipeline</t>
  </si>
  <si>
    <t>Two Sigma Investments</t>
  </si>
  <si>
    <t>Quant</t>
  </si>
  <si>
    <t>Algo-driven, low latency infra needs</t>
  </si>
  <si>
    <t>Mubadala Investment Co</t>
  </si>
  <si>
    <t>Co-investment appetite rising</t>
  </si>
  <si>
    <t>Nippon Life Insurance</t>
  </si>
  <si>
    <t>Insurer</t>
  </si>
  <si>
    <t>Yield-starved, buying US credit</t>
  </si>
  <si>
    <t>PGGM</t>
  </si>
  <si>
    <t>Sustainability screening strict</t>
  </si>
  <si>
    <t>Wellington Management</t>
  </si>
  <si>
    <t>Broad product usage, stable relationship</t>
  </si>
  <si>
    <t>Kuwait Investment Authority</t>
  </si>
  <si>
    <t>Kuwait</t>
  </si>
  <si>
    <t>Oldest SWF, conservative mandate</t>
  </si>
  <si>
    <t>Citadel</t>
  </si>
  <si>
    <t>US Central</t>
  </si>
  <si>
    <t>Top revenue per dollar of AUM</t>
  </si>
  <si>
    <t>OMERS</t>
  </si>
  <si>
    <t>Bronze</t>
  </si>
  <si>
    <t>Smaller account, growth potential</t>
  </si>
  <si>
    <t>Amundi</t>
  </si>
  <si>
    <t>France</t>
  </si>
  <si>
    <t>Largest EU AM, ETF push in Asia</t>
  </si>
  <si>
    <t>Trades YTD</t>
  </si>
  <si>
    <t>Avg Trade Size (USD mm)</t>
  </si>
  <si>
    <t>Sharpe Ratio</t>
  </si>
  <si>
    <t>Coverage Banker</t>
  </si>
  <si>
    <t>Last Review Date</t>
  </si>
  <si>
    <t>R. Tanaka</t>
  </si>
  <si>
    <t>S. Lim</t>
  </si>
  <si>
    <t>M. Alvarez</t>
  </si>
  <si>
    <t>L. Haugen</t>
  </si>
  <si>
    <t>J. Carter</t>
  </si>
  <si>
    <t>K. Bauer</t>
  </si>
  <si>
    <t>D. Chen</t>
  </si>
  <si>
    <t>F. Haddad</t>
  </si>
  <si>
    <t>P. Nguyen</t>
  </si>
  <si>
    <t>E. Wright</t>
  </si>
  <si>
    <t>State Street Global Advisors</t>
  </si>
  <si>
    <t>SPDR flow, execution heavy</t>
  </si>
  <si>
    <t>Zurich Insurance Group</t>
  </si>
  <si>
    <t>Switzerland</t>
  </si>
  <si>
    <t>Liability matching, low risk appetite</t>
  </si>
  <si>
    <t>Khazanah Nasional</t>
  </si>
  <si>
    <t>Malaysia</t>
  </si>
  <si>
    <t>Emerging relationship, upside potential</t>
  </si>
  <si>
    <t>Franklin Templeton</t>
  </si>
  <si>
    <t>EM debt specialist</t>
  </si>
  <si>
    <t>Ivanhoe / CDPQ</t>
  </si>
  <si>
    <t>Real assets focus</t>
  </si>
  <si>
    <t>Saudi Public Investment Fund</t>
  </si>
  <si>
    <t>Saudi Arabia</t>
  </si>
  <si>
    <t>Fast-growing giga-project financing</t>
  </si>
  <si>
    <t>MFS Investment Management</t>
  </si>
  <si>
    <t>Long-only, buy and hold</t>
  </si>
  <si>
    <t>Ping An Asset Management</t>
  </si>
  <si>
    <t>Onshore focus, FX access growing</t>
  </si>
  <si>
    <t>Elliott Management</t>
  </si>
  <si>
    <t>Activist / Event</t>
  </si>
  <si>
    <t>Event-driven, lumpy but high-margin</t>
  </si>
  <si>
    <t>Aware Super</t>
  </si>
  <si>
    <t>Growing member base</t>
  </si>
  <si>
    <t>Invesco</t>
  </si>
  <si>
    <t>QQQ franchise, ETF flow</t>
  </si>
  <si>
    <t>Qatar Investment Authority</t>
  </si>
  <si>
    <t>Qatar</t>
  </si>
  <si>
    <t>Trophy asset appetite</t>
  </si>
  <si>
    <t>T. Rowe Price</t>
  </si>
  <si>
    <t>Growth equity focus</t>
  </si>
  <si>
    <t>AIMCo</t>
  </si>
  <si>
    <t>Rebuilding after vol losses</t>
  </si>
  <si>
    <t>Baillie Gifford</t>
  </si>
  <si>
    <t>High-growth tech concentration</t>
  </si>
  <si>
    <t>AQR Capital Management</t>
  </si>
  <si>
    <t>Factor-based, systematic flow</t>
  </si>
  <si>
    <t>Samsung Life Insurance</t>
  </si>
  <si>
    <t>Regulatory driven duration buying</t>
  </si>
  <si>
    <t>Wellcome Trust</t>
  </si>
  <si>
    <t>Endowment</t>
  </si>
  <si>
    <t>Long horizon, alternatives heavy</t>
  </si>
  <si>
    <t>Brevan Howard</t>
  </si>
  <si>
    <t>Rates/FX macro, high-margin</t>
  </si>
  <si>
    <t>New York State Common Fund</t>
  </si>
  <si>
    <t>In-house managed, cost conscious</t>
  </si>
  <si>
    <t>HKMA Exchange Fund</t>
  </si>
  <si>
    <t>Hong Kong</t>
  </si>
  <si>
    <t>Reserve manager, conservative</t>
  </si>
  <si>
    <t>Man Group</t>
  </si>
  <si>
    <t>AHL systematic strategies</t>
  </si>
  <si>
    <t>Aviva Investors</t>
  </si>
  <si>
    <t>Annuity-backed credit demand</t>
  </si>
  <si>
    <t>Ontario Municipal (OPTrust)</t>
  </si>
  <si>
    <t>Small but sticky relationship</t>
  </si>
  <si>
    <t>Capital Group</t>
  </si>
  <si>
    <t>American Funds, deep equity flow</t>
  </si>
  <si>
    <t>Government Pension Investment Fund</t>
  </si>
  <si>
    <t>World's largest pension, index heavy</t>
  </si>
  <si>
    <t>Lansforsakringar</t>
  </si>
  <si>
    <t>Sweden</t>
  </si>
  <si>
    <t>Nordic credit, small ticket</t>
  </si>
  <si>
    <t>Point72 Asset Management</t>
  </si>
  <si>
    <t>High-touch equities, pod structure</t>
  </si>
  <si>
    <t>Old Mutual / Ninety One</t>
  </si>
  <si>
    <t>South Africa</t>
  </si>
  <si>
    <t>EM Africa gateway, niche</t>
  </si>
  <si>
    <t>New Zealand Super Fund</t>
  </si>
  <si>
    <t>New Zealand</t>
  </si>
  <si>
    <t>Contrarian tilt, active rebalancing</t>
  </si>
  <si>
    <t>Revenue per USD bn AUM</t>
  </si>
  <si>
    <t>Client Portfolio — Analysis</t>
  </si>
  <si>
    <t>All figures formula-driven from the Data tab (ClientData table).</t>
  </si>
  <si>
    <t>Revenue &amp; Return by Region</t>
  </si>
  <si>
    <t>Revenue (USD mm)</t>
  </si>
  <si>
    <t>% of Total</t>
  </si>
  <si>
    <t>Avg YTD Return</t>
  </si>
  <si>
    <t>Clients</t>
  </si>
  <si>
    <t>Total</t>
  </si>
  <si>
    <t>Revenue &amp; Return by Client Type</t>
  </si>
  <si>
    <t>Revenue &amp; Return by Relationship Tier</t>
  </si>
  <si>
    <t>Tier</t>
  </si>
  <si>
    <t>Revenue &amp; Return by Coverage Banker</t>
  </si>
  <si>
    <t>Region (sorted)</t>
  </si>
  <si>
    <t>Revenue</t>
  </si>
  <si>
    <t>Top Client</t>
  </si>
  <si>
    <t>Institutional Client Portfolio — Executive Dashboard</t>
  </si>
  <si>
    <t>All metrics calculated live from the Data tab (ClientData table) — no hardcoded figures.</t>
  </si>
  <si>
    <t>Total Revenue</t>
  </si>
  <si>
    <t>Total AUM</t>
  </si>
  <si>
    <t>Client Count</t>
  </si>
  <si>
    <t>Top Client by Revenue</t>
  </si>
  <si>
    <t>HF avg Sharpe</t>
  </si>
  <si>
    <t>Top10 rev share</t>
  </si>
  <si>
    <t>Silver+Bronze clients</t>
  </si>
  <si>
    <t>Key Insights</t>
  </si>
  <si>
    <t>Chart data — feeds Dashboard (do not delete)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</si>
</sst>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&quot;$&quot;#,##0.0"/>
    <numFmt numFmtId="165" formatCode="0.0&quot;%&quot;"/>
    <numFmt numFmtId="166" formatCode="&quot;$&quot;#,##0"/>
    <numFmt numFmtId="167" formatCode="dd/mmm/yyyy"/>
    <numFmt numFmtId="168" formatCode="0.000"/>
    <numFmt numFmtId="169" formatCode="0.0%"/>
    <numFmt numFmtId="170" formatCode="&quot;$&quot;#,##0.0&quot; mm&quot;"/>
    <numFmt numFmtId="171" formatCode="&quot;$&quot;#,##0&quot; bn&quot;"/>
  </numFmts>
  <fonts count="1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156082"/>
      <name val="Aptos Narrow"/>
      <family val="2"/>
      <scheme val="minor"/>
    </font>
    <font>
      <i/>
      <sz val="10"/>
      <color rgb="FF595959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b/>
      <sz val="11"/>
      <color rgb="FF595959"/>
      <name val="Aptos Narrow"/>
      <family val="2"/>
      <scheme val="minor"/>
    </font>
    <font>
      <b/>
      <sz val="20"/>
      <color rgb="FF156082"/>
      <name val="Aptos Narrow"/>
      <family val="2"/>
      <scheme val="minor"/>
    </font>
    <font>
      <b/>
      <sz val="10"/>
      <color rgb="FFFFFFFF"/>
      <name val="Aptos Narrow"/>
      <family val="2"/>
      <scheme val="minor"/>
    </font>
    <font>
      <b/>
      <sz val="12"/>
      <color rgb="FF156082"/>
      <name val="Aptos Narrow"/>
      <family val="2"/>
      <scheme val="minor"/>
    </font>
    <font>
      <b/>
      <sz val="12"/>
      <color rgb="FFFFFFFF"/>
      <name val="Aptos Narrow"/>
      <family val="2"/>
      <scheme val="minor"/>
    </font>
    <font>
      <sz val="10"/>
      <color rgb="FF1F3D52"/>
      <name val="Aptos Narrow"/>
      <family val="2"/>
      <scheme val="minor"/>
    </font>
    <font>
      <i/>
      <sz val="9"/>
      <color rgb="FF8C8C8C"/>
      <name val="Aptos Narrow"/>
      <family val="2"/>
      <scheme val="minor"/>
    </font>
    <font>
      <b/>
      <sz val="15"/>
      <color rgb="FF156082"/>
      <name val="Aptos Narrow"/>
      <family val="2"/>
      <scheme val="minor"/>
    </font>
    <font>
      <b/>
      <sz val="13"/>
      <color rgb="FF156082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156082"/>
        <bgColor indexed="64"/>
      </patternFill>
    </fill>
    <fill>
      <patternFill patternType="solid">
        <fgColor rgb="FFD9E7EF"/>
        <bgColor indexed="64"/>
      </patternFill>
    </fill>
    <fill>
      <patternFill patternType="solid">
        <fgColor rgb="FFEAF2F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1" fontId="0" fillId="0" borderId="0" xfId="0" applyNumberFormat="1"/>
    <xf numFmtId="3" fontId="0" fillId="0" borderId="0" xfId="0" applyNumberFormat="1"/>
    <xf numFmtId="2" fontId="0" fillId="0" borderId="0" xfId="0" applyNumberFormat="1"/>
    <xf numFmtId="167" fontId="0" fillId="0" borderId="0" xfId="0" applyNumberFormat="1"/>
    <xf numFmtId="168" fontId="0" fillId="0" borderId="0" xfId="0" applyNumberFormat="1"/>
    <xf numFmtId="0" fontId="0" fillId="0" borderId="0" xfId="0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1" fillId="3" borderId="0" xfId="0" applyFont="1" applyFill="1"/>
    <xf numFmtId="0" fontId="1" fillId="3" borderId="0" xfId="0" applyFont="1" applyFill="1" applyAlignment="1">
      <alignment horizontal="right"/>
    </xf>
    <xf numFmtId="164" fontId="1" fillId="3" borderId="0" xfId="0" applyNumberFormat="1" applyFont="1" applyFill="1"/>
    <xf numFmtId="169" fontId="0" fillId="0" borderId="0" xfId="0" applyNumberFormat="1"/>
    <xf numFmtId="169" fontId="1" fillId="3" borderId="0" xfId="0" applyNumberFormat="1" applyFont="1" applyFill="1"/>
    <xf numFmtId="165" fontId="1" fillId="3" borderId="0" xfId="0" applyNumberFormat="1" applyFont="1" applyFill="1"/>
    <xf numFmtId="1" fontId="1" fillId="3" borderId="0" xfId="0" applyNumberFormat="1" applyFont="1" applyFill="1"/>
    <xf numFmtId="0" fontId="4" fillId="2" borderId="0" xfId="0" applyFont="1" applyFill="1"/>
    <xf numFmtId="0" fontId="5" fillId="0" borderId="0" xfId="0" applyFont="1"/>
    <xf numFmtId="0" fontId="0" fillId="0" borderId="0" xfId="0"/>
    <xf numFmtId="0" fontId="6" fillId="0" borderId="0" xfId="0" applyFont="1"/>
    <xf numFmtId="0" fontId="3" fillId="0" borderId="0" xfId="0" applyFont="1"/>
    <xf numFmtId="0" fontId="7" fillId="2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10" fillId="4" borderId="0" xfId="0" applyFont="1" applyFill="1" applyAlignment="1">
      <alignment horizontal="left" vertical="center" wrapText="1"/>
    </xf>
    <xf numFmtId="0" fontId="11" fillId="0" borderId="0" xfId="0" applyFont="1"/>
    <xf numFmtId="170" fontId="12" fillId="4" borderId="0" xfId="0" applyNumberFormat="1" applyFont="1" applyFill="1" applyAlignment="1">
      <alignment horizontal="center" vertical="center"/>
    </xf>
    <xf numFmtId="171" fontId="12" fillId="4" borderId="0" xfId="0" applyNumberFormat="1" applyFont="1" applyFill="1" applyAlignment="1">
      <alignment horizontal="center" vertical="center"/>
    </xf>
    <xf numFmtId="165" fontId="12" fillId="4" borderId="0" xfId="0" applyNumberFormat="1" applyFont="1" applyFill="1" applyAlignment="1">
      <alignment horizontal="center" vertical="center"/>
    </xf>
    <xf numFmtId="1" fontId="12" fillId="4" borderId="0" xfId="0" applyNumberFormat="1" applyFont="1" applyFill="1" applyAlignment="1">
      <alignment horizontal="center" vertical="center"/>
    </xf>
    <xf numFmtId="0" fontId="13" fillId="4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10">
    <dxf>
      <alignment horizontal="center" vertical="center"/>
    </dxf>
    <dxf>
      <numFmt numFmtId="168" formatCode="0.000"/>
    </dxf>
    <dxf>
      <numFmt numFmtId="167" formatCode="dd/mmm/yyyy"/>
    </dxf>
    <dxf>
      <numFmt numFmtId="2" formatCode="0.00"/>
    </dxf>
    <dxf>
      <numFmt numFmtId="164" formatCode="&quot;$&quot;#,##0.0"/>
    </dxf>
    <dxf>
      <numFmt numFmtId="3" formatCode="#,##0"/>
    </dxf>
    <dxf>
      <numFmt numFmtId="1" formatCode="0"/>
    </dxf>
    <dxf>
      <numFmt numFmtId="166" formatCode="&quot;$&quot;#,##0"/>
    </dxf>
    <dxf>
      <numFmt numFmtId="165" formatCode="0.0&quot;%&quot;"/>
    </dxf>
    <dxf>
      <numFmt numFmtId="164" formatCode="&quot;$&quot;#,##0.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Revenue by Region (USD mm)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Analysis!$N$4</c:f>
              <c:strCache>
                <c:ptCount val="1"/>
                <c:pt idx="0">
                  <c:v>Revenue</c:v>
                </c:pt>
              </c:strCache>
            </c:strRef>
          </c:tx>
          <c:spPr>
            <a:solidFill>
              <a:srgbClr val="156082"/>
            </a:solidFill>
            <a:ln>
              <a:noFill/>
            </a:ln>
            <a:effectLst/>
          </c:spPr>
          <c:invertIfNegative val="0"/>
          <c:cat>
            <c:strRef>
              <c:f>Analysis!$M$5:$M$28</c:f>
              <c:strCache>
                <c:ptCount val="24"/>
                <c:pt idx="0">
                  <c:v>US East</c:v>
                </c:pt>
                <c:pt idx="1">
                  <c:v>UK</c:v>
                </c:pt>
                <c:pt idx="2">
                  <c:v>US West</c:v>
                </c:pt>
                <c:pt idx="3">
                  <c:v>Japan</c:v>
                </c:pt>
                <c:pt idx="4">
                  <c:v>Canada</c:v>
                </c:pt>
                <c:pt idx="5">
                  <c:v>Singapore</c:v>
                </c:pt>
                <c:pt idx="6">
                  <c:v>UAE</c:v>
                </c:pt>
                <c:pt idx="7">
                  <c:v>China</c:v>
                </c:pt>
                <c:pt idx="8">
                  <c:v>Norway</c:v>
                </c:pt>
                <c:pt idx="9">
                  <c:v>Australia</c:v>
                </c:pt>
                <c:pt idx="10">
                  <c:v>US Central</c:v>
                </c:pt>
                <c:pt idx="11">
                  <c:v>Saudi Arabia</c:v>
                </c:pt>
                <c:pt idx="12">
                  <c:v>South Korea</c:v>
                </c:pt>
                <c:pt idx="13">
                  <c:v>Netherlands</c:v>
                </c:pt>
                <c:pt idx="14">
                  <c:v>Hong Kong</c:v>
                </c:pt>
                <c:pt idx="15">
                  <c:v>Qatar</c:v>
                </c:pt>
                <c:pt idx="16">
                  <c:v>Kuwait</c:v>
                </c:pt>
                <c:pt idx="17">
                  <c:v>Germany</c:v>
                </c:pt>
                <c:pt idx="18">
                  <c:v>France</c:v>
                </c:pt>
                <c:pt idx="19">
                  <c:v>Switzerland</c:v>
                </c:pt>
                <c:pt idx="20">
                  <c:v>New Zealand</c:v>
                </c:pt>
                <c:pt idx="21">
                  <c:v>Malaysia</c:v>
                </c:pt>
                <c:pt idx="22">
                  <c:v>Sweden</c:v>
                </c:pt>
                <c:pt idx="23">
                  <c:v>South Africa</c:v>
                </c:pt>
              </c:strCache>
            </c:strRef>
          </c:cat>
          <c:val>
            <c:numRef>
              <c:f>Analysis!$N$5:$N$28</c:f>
              <c:numCache>
                <c:formatCode>General</c:formatCode>
                <c:ptCount val="24"/>
                <c:pt idx="0">
                  <c:v>595.80000000000007</c:v>
                </c:pt>
                <c:pt idx="1">
                  <c:v>174.00000000000003</c:v>
                </c:pt>
                <c:pt idx="2">
                  <c:v>154.5</c:v>
                </c:pt>
                <c:pt idx="3">
                  <c:v>121.69999999999999</c:v>
                </c:pt>
                <c:pt idx="4">
                  <c:v>101.79999999999998</c:v>
                </c:pt>
                <c:pt idx="5">
                  <c:v>91.300000000000011</c:v>
                </c:pt>
                <c:pt idx="6">
                  <c:v>77</c:v>
                </c:pt>
                <c:pt idx="7">
                  <c:v>73.400000000000006</c:v>
                </c:pt>
                <c:pt idx="8">
                  <c:v>61.9</c:v>
                </c:pt>
                <c:pt idx="9">
                  <c:v>60.7</c:v>
                </c:pt>
                <c:pt idx="10">
                  <c:v>51.8</c:v>
                </c:pt>
                <c:pt idx="11">
                  <c:v>47.9</c:v>
                </c:pt>
                <c:pt idx="12">
                  <c:v>44.1</c:v>
                </c:pt>
                <c:pt idx="13">
                  <c:v>43.099999999999994</c:v>
                </c:pt>
                <c:pt idx="14">
                  <c:v>39.700000000000003</c:v>
                </c:pt>
                <c:pt idx="15">
                  <c:v>34.9</c:v>
                </c:pt>
                <c:pt idx="16">
                  <c:v>30.5</c:v>
                </c:pt>
                <c:pt idx="17">
                  <c:v>29.7</c:v>
                </c:pt>
                <c:pt idx="18">
                  <c:v>26.8</c:v>
                </c:pt>
                <c:pt idx="19">
                  <c:v>20.6</c:v>
                </c:pt>
                <c:pt idx="20">
                  <c:v>18.899999999999999</c:v>
                </c:pt>
                <c:pt idx="21">
                  <c:v>15.4</c:v>
                </c:pt>
                <c:pt idx="22">
                  <c:v>12.4</c:v>
                </c:pt>
                <c:pt idx="23">
                  <c:v>11.8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ED-4C82-949E-13A7A39385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85615583"/>
        <c:axId val="2091660399"/>
      </c:barChart>
      <c:catAx>
        <c:axId val="20856155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1660399"/>
        <c:crosses val="autoZero"/>
        <c:auto val="1"/>
        <c:lblAlgn val="ctr"/>
        <c:lblOffset val="100"/>
        <c:noMultiLvlLbl val="0"/>
      </c:catAx>
      <c:valAx>
        <c:axId val="2091660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5615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Revenue by Client Type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Analysis!$H$5</c:f>
              <c:strCache>
                <c:ptCount val="1"/>
                <c:pt idx="0">
                  <c:v>Revenue (USD mm)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Analysis!$G$6:$G$15</c:f>
              <c:strCache>
                <c:ptCount val="10"/>
                <c:pt idx="0">
                  <c:v>Sovereign Wealth Fund</c:v>
                </c:pt>
                <c:pt idx="1">
                  <c:v>Asset Manager</c:v>
                </c:pt>
                <c:pt idx="2">
                  <c:v>Public Pension</c:v>
                </c:pt>
                <c:pt idx="3">
                  <c:v>Hedge Fund</c:v>
                </c:pt>
                <c:pt idx="4">
                  <c:v>Insurer</c:v>
                </c:pt>
                <c:pt idx="5">
                  <c:v>Insurer / AM</c:v>
                </c:pt>
                <c:pt idx="6">
                  <c:v>Pension AM</c:v>
                </c:pt>
                <c:pt idx="7">
                  <c:v>Bank Treasury</c:v>
                </c:pt>
                <c:pt idx="8">
                  <c:v>Superannuation</c:v>
                </c:pt>
                <c:pt idx="9">
                  <c:v>Endowment</c:v>
                </c:pt>
              </c:strCache>
            </c:strRef>
          </c:cat>
          <c:val>
            <c:numRef>
              <c:f>Analysis!$H$6:$H$15</c:f>
              <c:numCache>
                <c:formatCode>"$"#,##0.0</c:formatCode>
                <c:ptCount val="10"/>
                <c:pt idx="0">
                  <c:v>479.89999999999986</c:v>
                </c:pt>
                <c:pt idx="1">
                  <c:v>495.09999999999997</c:v>
                </c:pt>
                <c:pt idx="2">
                  <c:v>244.5</c:v>
                </c:pt>
                <c:pt idx="3">
                  <c:v>399.70000000000005</c:v>
                </c:pt>
                <c:pt idx="4">
                  <c:v>74.300000000000011</c:v>
                </c:pt>
                <c:pt idx="5">
                  <c:v>106.29999999999998</c:v>
                </c:pt>
                <c:pt idx="6">
                  <c:v>43.099999999999994</c:v>
                </c:pt>
                <c:pt idx="7">
                  <c:v>42.6</c:v>
                </c:pt>
                <c:pt idx="8">
                  <c:v>39.299999999999997</c:v>
                </c:pt>
                <c:pt idx="9">
                  <c:v>14.9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15-4E57-BE1F-05D94F9B62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Revenue by Relationship Tier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Analysis!$H$19</c:f>
              <c:strCache>
                <c:ptCount val="1"/>
                <c:pt idx="0">
                  <c:v>Revenue (USD mm)</c:v>
                </c:pt>
              </c:strCache>
            </c:strRef>
          </c:tx>
          <c:spPr>
            <a:solidFill>
              <a:srgbClr val="4A90B8"/>
            </a:solidFill>
            <a:ln>
              <a:noFill/>
            </a:ln>
            <a:effectLst/>
          </c:spPr>
          <c:invertIfNegative val="0"/>
          <c:cat>
            <c:strRef>
              <c:f>Analysis!$G$20:$G$23</c:f>
              <c:strCache>
                <c:ptCount val="4"/>
                <c:pt idx="0">
                  <c:v>Platinum</c:v>
                </c:pt>
                <c:pt idx="1">
                  <c:v>Gold</c:v>
                </c:pt>
                <c:pt idx="2">
                  <c:v>Silver</c:v>
                </c:pt>
                <c:pt idx="3">
                  <c:v>Bronze</c:v>
                </c:pt>
              </c:strCache>
            </c:strRef>
          </c:cat>
          <c:val>
            <c:numRef>
              <c:f>Analysis!$H$20:$H$23</c:f>
              <c:numCache>
                <c:formatCode>"$"#,##0.0</c:formatCode>
                <c:ptCount val="4"/>
                <c:pt idx="0">
                  <c:v>808.90000000000009</c:v>
                </c:pt>
                <c:pt idx="1">
                  <c:v>667.8</c:v>
                </c:pt>
                <c:pt idx="2">
                  <c:v>326.99999999999994</c:v>
                </c:pt>
                <c:pt idx="3">
                  <c:v>136.00000000000003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4B-4CE1-958B-F2CE2E7B70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22656432"/>
        <c:axId val="2091762639"/>
      </c:barChart>
      <c:catAx>
        <c:axId val="112265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1762639"/>
        <c:crosses val="autoZero"/>
        <c:auto val="1"/>
        <c:lblAlgn val="ctr"/>
        <c:lblOffset val="100"/>
        <c:noMultiLvlLbl val="0"/>
      </c:catAx>
      <c:valAx>
        <c:axId val="2091762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2656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Top 10 Clients by Revenue (USD mm)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Analysis!$U$4</c:f>
              <c:strCache>
                <c:ptCount val="1"/>
                <c:pt idx="0">
                  <c:v>Revenue</c:v>
                </c:pt>
              </c:strCache>
            </c:strRef>
          </c:tx>
          <c:spPr>
            <a:solidFill>
              <a:srgbClr val="156082"/>
            </a:solidFill>
            <a:ln>
              <a:noFill/>
            </a:ln>
            <a:effectLst/>
          </c:spPr>
          <c:invertIfNegative val="0"/>
          <c:cat>
            <c:strRef>
              <c:f>Analysis!$T$5:$T$14</c:f>
              <c:strCache>
                <c:ptCount val="10"/>
                <c:pt idx="0">
                  <c:v>BlackRock</c:v>
                </c:pt>
                <c:pt idx="1">
                  <c:v>Norges Bank Investment Mgmt</c:v>
                </c:pt>
                <c:pt idx="2">
                  <c:v>GIC Private Limited</c:v>
                </c:pt>
                <c:pt idx="3">
                  <c:v>Government Pension Investment Fund</c:v>
                </c:pt>
                <c:pt idx="4">
                  <c:v>Bridgewater Associates</c:v>
                </c:pt>
                <c:pt idx="5">
                  <c:v>Citadel</c:v>
                </c:pt>
                <c:pt idx="6">
                  <c:v>Millennium Management</c:v>
                </c:pt>
                <c:pt idx="7">
                  <c:v>PIMCO</c:v>
                </c:pt>
                <c:pt idx="8">
                  <c:v>Saudi Public Investment Fund</c:v>
                </c:pt>
                <c:pt idx="9">
                  <c:v>Elliott Management</c:v>
                </c:pt>
              </c:strCache>
            </c:strRef>
          </c:cat>
          <c:val>
            <c:numRef>
              <c:f>Analysis!$U$5:$U$14</c:f>
              <c:numCache>
                <c:formatCode>General</c:formatCode>
                <c:ptCount val="10"/>
                <c:pt idx="0">
                  <c:v>74.3</c:v>
                </c:pt>
                <c:pt idx="1">
                  <c:v>61.9</c:v>
                </c:pt>
                <c:pt idx="2">
                  <c:v>58.1</c:v>
                </c:pt>
                <c:pt idx="3">
                  <c:v>55.6</c:v>
                </c:pt>
                <c:pt idx="4">
                  <c:v>53.2</c:v>
                </c:pt>
                <c:pt idx="5">
                  <c:v>51.8</c:v>
                </c:pt>
                <c:pt idx="6">
                  <c:v>49.6</c:v>
                </c:pt>
                <c:pt idx="7">
                  <c:v>48.8</c:v>
                </c:pt>
                <c:pt idx="8">
                  <c:v>47.9</c:v>
                </c:pt>
                <c:pt idx="9">
                  <c:v>46.3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56-4333-BE30-9718E31EF0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22654576"/>
        <c:axId val="2091766479"/>
      </c:barChart>
      <c:catAx>
        <c:axId val="11226545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1766479"/>
        <c:crosses val="autoZero"/>
        <c:auto val="1"/>
        <c:lblAlgn val="ctr"/>
        <c:lblOffset val="100"/>
        <c:noMultiLvlLbl val="0"/>
      </c:catAx>
      <c:valAx>
        <c:axId val="2091766479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2654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YTD Return vs AUM (bubble = revenue)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ubbleChart>
        <c:varyColors val="0"/>
        <c:ser>
          <c:idx val="0"/>
          <c:order val="0"/>
          <c:spPr>
            <a:solidFill>
              <a:srgbClr val="4A90B8"/>
            </a:solidFill>
            <a:ln>
              <a:noFill/>
            </a:ln>
            <a:effectLst/>
          </c:spPr>
          <c:invertIfNegative val="0"/>
          <c:xVal>
            <c:numRef>
              <c:f>Analysis!$P$5:$P$64</c:f>
              <c:numCache>
                <c:formatCode>General</c:formatCode>
                <c:ptCount val="60"/>
                <c:pt idx="0" formatCode="&quot;$&quot;#,##0">
                  <c:v>680</c:v>
                </c:pt>
                <c:pt idx="1">
                  <c:v>770</c:v>
                </c:pt>
                <c:pt idx="2">
                  <c:v>495</c:v>
                </c:pt>
                <c:pt idx="3">
                  <c:v>1600</c:v>
                </c:pt>
                <c:pt idx="4">
                  <c:v>2100</c:v>
                </c:pt>
                <c:pt idx="5">
                  <c:v>620</c:v>
                </c:pt>
                <c:pt idx="6">
                  <c:v>290</c:v>
                </c:pt>
                <c:pt idx="7">
                  <c:v>190</c:v>
                </c:pt>
                <c:pt idx="8">
                  <c:v>1750</c:v>
                </c:pt>
                <c:pt idx="9">
                  <c:v>850</c:v>
                </c:pt>
                <c:pt idx="10">
                  <c:v>1900</c:v>
                </c:pt>
                <c:pt idx="11">
                  <c:v>210</c:v>
                </c:pt>
                <c:pt idx="12">
                  <c:v>1350</c:v>
                </c:pt>
                <c:pt idx="13">
                  <c:v>1300</c:v>
                </c:pt>
                <c:pt idx="14">
                  <c:v>550</c:v>
                </c:pt>
                <c:pt idx="15">
                  <c:v>124</c:v>
                </c:pt>
                <c:pt idx="16">
                  <c:v>68</c:v>
                </c:pt>
                <c:pt idx="17">
                  <c:v>730</c:v>
                </c:pt>
                <c:pt idx="18">
                  <c:v>480</c:v>
                </c:pt>
                <c:pt idx="19">
                  <c:v>160</c:v>
                </c:pt>
                <c:pt idx="20">
                  <c:v>1150</c:v>
                </c:pt>
                <c:pt idx="21">
                  <c:v>60</c:v>
                </c:pt>
                <c:pt idx="22">
                  <c:v>280</c:v>
                </c:pt>
                <c:pt idx="23">
                  <c:v>700</c:v>
                </c:pt>
                <c:pt idx="24">
                  <c:v>300</c:v>
                </c:pt>
                <c:pt idx="25">
                  <c:v>1200</c:v>
                </c:pt>
                <c:pt idx="26">
                  <c:v>800</c:v>
                </c:pt>
                <c:pt idx="27">
                  <c:v>63</c:v>
                </c:pt>
                <c:pt idx="28">
                  <c:v>95</c:v>
                </c:pt>
                <c:pt idx="29">
                  <c:v>2000</c:v>
                </c:pt>
                <c:pt idx="30">
                  <c:v>1800</c:v>
                </c:pt>
                <c:pt idx="31">
                  <c:v>210</c:v>
                </c:pt>
                <c:pt idx="32">
                  <c:v>40</c:v>
                </c:pt>
                <c:pt idx="33">
                  <c:v>1450</c:v>
                </c:pt>
                <c:pt idx="34">
                  <c:v>330</c:v>
                </c:pt>
                <c:pt idx="35">
                  <c:v>700</c:v>
                </c:pt>
                <c:pt idx="36">
                  <c:v>610</c:v>
                </c:pt>
                <c:pt idx="37">
                  <c:v>950</c:v>
                </c:pt>
                <c:pt idx="38">
                  <c:v>65</c:v>
                </c:pt>
                <c:pt idx="39">
                  <c:v>110</c:v>
                </c:pt>
                <c:pt idx="40">
                  <c:v>1500</c:v>
                </c:pt>
                <c:pt idx="41">
                  <c:v>450</c:v>
                </c:pt>
                <c:pt idx="42">
                  <c:v>1400</c:v>
                </c:pt>
                <c:pt idx="43">
                  <c:v>120</c:v>
                </c:pt>
                <c:pt idx="44">
                  <c:v>240</c:v>
                </c:pt>
                <c:pt idx="45">
                  <c:v>99</c:v>
                </c:pt>
                <c:pt idx="46">
                  <c:v>260</c:v>
                </c:pt>
                <c:pt idx="47">
                  <c:v>45</c:v>
                </c:pt>
                <c:pt idx="48">
                  <c:v>34</c:v>
                </c:pt>
                <c:pt idx="49">
                  <c:v>260</c:v>
                </c:pt>
                <c:pt idx="50">
                  <c:v>590</c:v>
                </c:pt>
                <c:pt idx="51">
                  <c:v>78</c:v>
                </c:pt>
                <c:pt idx="52">
                  <c:v>360</c:v>
                </c:pt>
                <c:pt idx="53">
                  <c:v>25</c:v>
                </c:pt>
                <c:pt idx="54">
                  <c:v>2300</c:v>
                </c:pt>
                <c:pt idx="55">
                  <c:v>1500</c:v>
                </c:pt>
                <c:pt idx="56">
                  <c:v>55</c:v>
                </c:pt>
                <c:pt idx="57">
                  <c:v>36</c:v>
                </c:pt>
                <c:pt idx="58">
                  <c:v>160</c:v>
                </c:pt>
                <c:pt idx="59">
                  <c:v>45</c:v>
                </c:pt>
              </c:numCache>
            </c:numRef>
          </c:xVal>
          <c:yVal>
            <c:numRef>
              <c:f>Analysis!$Q$5:$Q$64</c:f>
              <c:numCache>
                <c:formatCode>General</c:formatCode>
                <c:ptCount val="60"/>
                <c:pt idx="0" formatCode="0.0&quot;%&quot;">
                  <c:v>7.8</c:v>
                </c:pt>
                <c:pt idx="1">
                  <c:v>9.1999999999999993</c:v>
                </c:pt>
                <c:pt idx="2">
                  <c:v>6.5</c:v>
                </c:pt>
                <c:pt idx="3">
                  <c:v>10.4</c:v>
                </c:pt>
                <c:pt idx="4">
                  <c:v>8.1</c:v>
                </c:pt>
                <c:pt idx="5">
                  <c:v>5.9</c:v>
                </c:pt>
                <c:pt idx="6">
                  <c:v>11.7</c:v>
                </c:pt>
                <c:pt idx="7">
                  <c:v>6.8</c:v>
                </c:pt>
                <c:pt idx="8">
                  <c:v>4.2</c:v>
                </c:pt>
                <c:pt idx="9">
                  <c:v>9.9</c:v>
                </c:pt>
                <c:pt idx="10">
                  <c:v>7.1</c:v>
                </c:pt>
                <c:pt idx="11">
                  <c:v>8.4</c:v>
                </c:pt>
                <c:pt idx="12">
                  <c:v>6.2</c:v>
                </c:pt>
                <c:pt idx="13">
                  <c:v>7.6</c:v>
                </c:pt>
                <c:pt idx="14">
                  <c:v>5.4</c:v>
                </c:pt>
                <c:pt idx="15">
                  <c:v>12.9</c:v>
                </c:pt>
                <c:pt idx="16">
                  <c:v>13.5</c:v>
                </c:pt>
                <c:pt idx="17">
                  <c:v>6</c:v>
                </c:pt>
                <c:pt idx="18">
                  <c:v>5.0999999999999996</c:v>
                </c:pt>
                <c:pt idx="19">
                  <c:v>8.8000000000000007</c:v>
                </c:pt>
                <c:pt idx="20">
                  <c:v>4.9000000000000004</c:v>
                </c:pt>
                <c:pt idx="21">
                  <c:v>11.2</c:v>
                </c:pt>
                <c:pt idx="22">
                  <c:v>9.4</c:v>
                </c:pt>
                <c:pt idx="23">
                  <c:v>3.8</c:v>
                </c:pt>
                <c:pt idx="24">
                  <c:v>5.6</c:v>
                </c:pt>
                <c:pt idx="25">
                  <c:v>7.3</c:v>
                </c:pt>
                <c:pt idx="26">
                  <c:v>8.6</c:v>
                </c:pt>
                <c:pt idx="27">
                  <c:v>14.1</c:v>
                </c:pt>
                <c:pt idx="28">
                  <c:v>6.1</c:v>
                </c:pt>
                <c:pt idx="29">
                  <c:v>5.7</c:v>
                </c:pt>
                <c:pt idx="30">
                  <c:v>7</c:v>
                </c:pt>
                <c:pt idx="31">
                  <c:v>4.5</c:v>
                </c:pt>
                <c:pt idx="32">
                  <c:v>7.9</c:v>
                </c:pt>
                <c:pt idx="33">
                  <c:v>6.3</c:v>
                </c:pt>
                <c:pt idx="34">
                  <c:v>7.4</c:v>
                </c:pt>
                <c:pt idx="35">
                  <c:v>10.8</c:v>
                </c:pt>
                <c:pt idx="36">
                  <c:v>6.7</c:v>
                </c:pt>
                <c:pt idx="37">
                  <c:v>6.9</c:v>
                </c:pt>
                <c:pt idx="38">
                  <c:v>12.1</c:v>
                </c:pt>
                <c:pt idx="39">
                  <c:v>8</c:v>
                </c:pt>
                <c:pt idx="40">
                  <c:v>5.8</c:v>
                </c:pt>
                <c:pt idx="41">
                  <c:v>9.1</c:v>
                </c:pt>
                <c:pt idx="42">
                  <c:v>7.5</c:v>
                </c:pt>
                <c:pt idx="43">
                  <c:v>6.4</c:v>
                </c:pt>
                <c:pt idx="44">
                  <c:v>9.6</c:v>
                </c:pt>
                <c:pt idx="45">
                  <c:v>10.199999999999999</c:v>
                </c:pt>
                <c:pt idx="46">
                  <c:v>4.0999999999999996</c:v>
                </c:pt>
                <c:pt idx="47">
                  <c:v>8.3000000000000007</c:v>
                </c:pt>
                <c:pt idx="48">
                  <c:v>11.9</c:v>
                </c:pt>
                <c:pt idx="49">
                  <c:v>6.6</c:v>
                </c:pt>
                <c:pt idx="50">
                  <c:v>7.7</c:v>
                </c:pt>
                <c:pt idx="51">
                  <c:v>9.6999999999999993</c:v>
                </c:pt>
                <c:pt idx="52">
                  <c:v>4.7</c:v>
                </c:pt>
                <c:pt idx="53">
                  <c:v>6.9</c:v>
                </c:pt>
                <c:pt idx="54">
                  <c:v>7.9</c:v>
                </c:pt>
                <c:pt idx="55">
                  <c:v>8.5</c:v>
                </c:pt>
                <c:pt idx="56">
                  <c:v>5</c:v>
                </c:pt>
                <c:pt idx="57">
                  <c:v>12.4</c:v>
                </c:pt>
                <c:pt idx="58">
                  <c:v>7.2</c:v>
                </c:pt>
                <c:pt idx="59">
                  <c:v>9.3000000000000007</c:v>
                </c:pt>
              </c:numCache>
            </c:numRef>
          </c:yVal>
          <c:bubbleSize>
            <c:numRef>
              <c:f>Analysis!$R$5:$R$64</c:f>
              <c:numCache>
                <c:formatCode>General</c:formatCode>
                <c:ptCount val="60"/>
                <c:pt idx="0" formatCode="&quot;$&quot;#,##0.0">
                  <c:v>42.6</c:v>
                </c:pt>
                <c:pt idx="1">
                  <c:v>58.1</c:v>
                </c:pt>
                <c:pt idx="2">
                  <c:v>36.4</c:v>
                </c:pt>
                <c:pt idx="3">
                  <c:v>61.9</c:v>
                </c:pt>
                <c:pt idx="4">
                  <c:v>74.3</c:v>
                </c:pt>
                <c:pt idx="5">
                  <c:v>29.7</c:v>
                </c:pt>
                <c:pt idx="6">
                  <c:v>33.200000000000003</c:v>
                </c:pt>
                <c:pt idx="7">
                  <c:v>27.5</c:v>
                </c:pt>
                <c:pt idx="8">
                  <c:v>48.8</c:v>
                </c:pt>
                <c:pt idx="9">
                  <c:v>45.1</c:v>
                </c:pt>
                <c:pt idx="10">
                  <c:v>39.4</c:v>
                </c:pt>
                <c:pt idx="11">
                  <c:v>22.6</c:v>
                </c:pt>
                <c:pt idx="12">
                  <c:v>41</c:v>
                </c:pt>
                <c:pt idx="13">
                  <c:v>37.799999999999997</c:v>
                </c:pt>
                <c:pt idx="14">
                  <c:v>24.9</c:v>
                </c:pt>
                <c:pt idx="15">
                  <c:v>53.2</c:v>
                </c:pt>
                <c:pt idx="16">
                  <c:v>49.6</c:v>
                </c:pt>
                <c:pt idx="17">
                  <c:v>26.3</c:v>
                </c:pt>
                <c:pt idx="18">
                  <c:v>19.8</c:v>
                </c:pt>
                <c:pt idx="19">
                  <c:v>21.4</c:v>
                </c:pt>
                <c:pt idx="20">
                  <c:v>28.1</c:v>
                </c:pt>
                <c:pt idx="21">
                  <c:v>44.7</c:v>
                </c:pt>
                <c:pt idx="22">
                  <c:v>31.9</c:v>
                </c:pt>
                <c:pt idx="23">
                  <c:v>23.5</c:v>
                </c:pt>
                <c:pt idx="24">
                  <c:v>18.2</c:v>
                </c:pt>
                <c:pt idx="25">
                  <c:v>34.6</c:v>
                </c:pt>
                <c:pt idx="26">
                  <c:v>30.5</c:v>
                </c:pt>
                <c:pt idx="27">
                  <c:v>51.8</c:v>
                </c:pt>
                <c:pt idx="28">
                  <c:v>17.3</c:v>
                </c:pt>
                <c:pt idx="29">
                  <c:v>26.8</c:v>
                </c:pt>
                <c:pt idx="30">
                  <c:v>40.200000000000003</c:v>
                </c:pt>
                <c:pt idx="31">
                  <c:v>20.6</c:v>
                </c:pt>
                <c:pt idx="32">
                  <c:v>15.4</c:v>
                </c:pt>
                <c:pt idx="33">
                  <c:v>25.1</c:v>
                </c:pt>
                <c:pt idx="34">
                  <c:v>23.8</c:v>
                </c:pt>
                <c:pt idx="35">
                  <c:v>47.9</c:v>
                </c:pt>
                <c:pt idx="36">
                  <c:v>18.899999999999999</c:v>
                </c:pt>
                <c:pt idx="37">
                  <c:v>32.4</c:v>
                </c:pt>
                <c:pt idx="38">
                  <c:v>46.3</c:v>
                </c:pt>
                <c:pt idx="39">
                  <c:v>16.7</c:v>
                </c:pt>
                <c:pt idx="40">
                  <c:v>22.9</c:v>
                </c:pt>
                <c:pt idx="41">
                  <c:v>34.9</c:v>
                </c:pt>
                <c:pt idx="42">
                  <c:v>29.3</c:v>
                </c:pt>
                <c:pt idx="43">
                  <c:v>19.600000000000001</c:v>
                </c:pt>
                <c:pt idx="44">
                  <c:v>21.2</c:v>
                </c:pt>
                <c:pt idx="45">
                  <c:v>38.5</c:v>
                </c:pt>
                <c:pt idx="46">
                  <c:v>17.8</c:v>
                </c:pt>
                <c:pt idx="47">
                  <c:v>14.9</c:v>
                </c:pt>
                <c:pt idx="48">
                  <c:v>43.1</c:v>
                </c:pt>
                <c:pt idx="49">
                  <c:v>24.4</c:v>
                </c:pt>
                <c:pt idx="50">
                  <c:v>39.700000000000003</c:v>
                </c:pt>
                <c:pt idx="51">
                  <c:v>30.8</c:v>
                </c:pt>
                <c:pt idx="52">
                  <c:v>16.100000000000001</c:v>
                </c:pt>
                <c:pt idx="53">
                  <c:v>13.6</c:v>
                </c:pt>
                <c:pt idx="54">
                  <c:v>44.2</c:v>
                </c:pt>
                <c:pt idx="55">
                  <c:v>55.6</c:v>
                </c:pt>
                <c:pt idx="56">
                  <c:v>12.4</c:v>
                </c:pt>
                <c:pt idx="57">
                  <c:v>41.7</c:v>
                </c:pt>
                <c:pt idx="58">
                  <c:v>11.8</c:v>
                </c:pt>
                <c:pt idx="59">
                  <c:v>18.899999999999999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C659-422A-A407-A44E98A2F5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25"/>
        <c:showNegBubbles val="0"/>
        <c:axId val="1143644207"/>
        <c:axId val="2091731919"/>
      </c:bubbleChart>
      <c:valAx>
        <c:axId val="1143644207"/>
        <c:scaling>
          <c:orientation val="minMax"/>
          <c:max val="24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HK"/>
                  <a:t>AUM (USD bn)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1731919"/>
        <c:crosses val="autoZero"/>
        <c:crossBetween val="midCat"/>
      </c:valAx>
      <c:valAx>
        <c:axId val="20917319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HK"/>
                  <a:t>YTD Return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&quot;%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36442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5</xdr:col>
      <xdr:colOff>0</xdr:colOff>
      <xdr:row>33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8EEA15-F778-7B29-0018-19AC72A85B9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8</xdr:row>
      <xdr:rowOff>0</xdr:rowOff>
    </xdr:from>
    <xdr:to>
      <xdr:col>8</xdr:col>
      <xdr:colOff>0</xdr:colOff>
      <xdr:row>20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D6F2EC5-FA40-14FC-F18F-6C707B1E98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8</xdr:row>
      <xdr:rowOff>0</xdr:rowOff>
    </xdr:from>
    <xdr:to>
      <xdr:col>11</xdr:col>
      <xdr:colOff>0</xdr:colOff>
      <xdr:row>20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05A5FCB-74DD-B8A9-80D7-20FDEA0617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21</xdr:row>
      <xdr:rowOff>0</xdr:rowOff>
    </xdr:from>
    <xdr:to>
      <xdr:col>11</xdr:col>
      <xdr:colOff>0</xdr:colOff>
      <xdr:row>35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AAC584D-E12C-9354-C873-4011C95F49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0</xdr:colOff>
      <xdr:row>21</xdr:row>
      <xdr:rowOff>0</xdr:rowOff>
    </xdr:from>
    <xdr:to>
      <xdr:col>8</xdr:col>
      <xdr:colOff>0</xdr:colOff>
      <xdr:row>35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369F40F-F9F1-3922-6DD2-F0E640091B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828FA23-179B-48FD-A9CA-4A2914C1DE81}" name="ClientData" displayName="ClientData" ref="A1:P61" totalsRowShown="0" headerRowDxfId="0">
  <autoFilter ref="A1:P61" xr:uid="{C828FA23-179B-48FD-A9CA-4A2914C1DE81}"/>
  <tableColumns count="16">
    <tableColumn id="1" xr3:uid="{9CBC05C7-AB5C-4776-A556-550F0A039086}" name="Client Name"/>
    <tableColumn id="2" xr3:uid="{75403763-71AD-4FE9-994F-799A82E937AE}" name="Region"/>
    <tableColumn id="3" xr3:uid="{D51142E8-D2BF-4774-86BF-BBE0143CF7E9}" name="Client Type"/>
    <tableColumn id="4" xr3:uid="{F2861EDC-398D-4016-BF9C-0F804A9F5AB3}" name="Revenue Contribution (USD mm)" dataDxfId="9"/>
    <tableColumn id="5" xr3:uid="{BC1B5C4C-4764-40B9-A7F6-2CC876CB4ECA}" name="YTD Return %" dataDxfId="8"/>
    <tableColumn id="6" xr3:uid="{971A31B6-D454-4F20-8548-37727A8D702D}" name="AUM (USD bn)" dataDxfId="7"/>
    <tableColumn id="7" xr3:uid="{50274283-F5FA-4167-88FC-2DD1A93A73D7}" name="Primary Product"/>
    <tableColumn id="8" xr3:uid="{0E73F164-E7E5-47F8-87F8-03DCEC6CFF36}" name="Relationship Tier"/>
    <tableColumn id="9" xr3:uid="{8F5B72F9-95B2-49B1-8A3E-FAA85ED2F168}" name="Onboarded" dataDxfId="6"/>
    <tableColumn id="10" xr3:uid="{5C24BBF7-330E-4569-ACB2-397AEDEABD75}" name="Notes"/>
    <tableColumn id="11" xr3:uid="{4B8591E8-516A-41D8-99BC-BFF90F09427F}" name="Trades YTD" dataDxfId="5"/>
    <tableColumn id="12" xr3:uid="{A4E1DAE2-A914-49DC-B884-3A7688C43211}" name="Avg Trade Size (USD mm)" dataDxfId="4"/>
    <tableColumn id="13" xr3:uid="{B64C485F-1928-41D7-8838-AC242A99B223}" name="Sharpe Ratio" dataDxfId="3"/>
    <tableColumn id="14" xr3:uid="{CF469AEE-F8F3-4874-AD57-6D386418BFAA}" name="Coverage Banker"/>
    <tableColumn id="15" xr3:uid="{41C626BD-A5D6-4CA0-9CAB-31994875B78C}" name="Last Review Date" dataDxfId="2"/>
    <tableColumn id="16" xr3:uid="{356E41B7-AA81-4AAD-B036-EF938712CE06}" name="Revenue per USD bn AUM" dataDxfId="1">
      <calculatedColumnFormula>D2/F2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60AC339-2D2D-48B9-AFB2-08FE8266B0BC}">
  <we:reference id="wa200009404" version="1.0.0.8" store="en-US" storeType="OMEX"/>
  <we:alternateReferences>
    <we:reference id="WA200009404" version="1.0.0.8" store="" storeType="OMEX"/>
  </we:alternateReferences>
  <we:properties>
    <we:property name="claude.fileId" value="&quot;f6ef5bed-ca86-4a95-b8e3-bdbf89a6329e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3C7F9-6712-412E-9AF0-15626A2C7383}">
  <sheetPr>
    <tabColor rgb="FF156082"/>
  </sheetPr>
  <dimension ref="A1:P61"/>
  <sheetViews>
    <sheetView workbookViewId="0">
      <pane ySplit="1" topLeftCell="A2" activePane="bottomLeft" state="frozen"/>
      <selection pane="bottomLeft" activeCell="E22" sqref="E22"/>
    </sheetView>
  </sheetViews>
  <sheetFormatPr defaultRowHeight="15" x14ac:dyDescent="0.25"/>
  <cols>
    <col min="1" max="1" width="40" customWidth="1"/>
    <col min="2" max="6" width="18.140625" customWidth="1"/>
    <col min="7" max="7" width="21.85546875" customWidth="1"/>
    <col min="8" max="9" width="18.140625" customWidth="1"/>
    <col min="10" max="10" width="49.5703125" customWidth="1"/>
    <col min="11" max="13" width="18.140625" customWidth="1"/>
    <col min="14" max="14" width="20" customWidth="1"/>
    <col min="15" max="15" width="18.140625" customWidth="1"/>
    <col min="16" max="16" width="22.85546875" customWidth="1"/>
  </cols>
  <sheetData>
    <row r="1" spans="1:16" ht="18" customHeight="1" x14ac:dyDescent="0.25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110</v>
      </c>
      <c r="L1" s="9" t="s">
        <v>111</v>
      </c>
      <c r="M1" s="9" t="s">
        <v>112</v>
      </c>
      <c r="N1" s="9" t="s">
        <v>113</v>
      </c>
      <c r="O1" s="9" t="s">
        <v>114</v>
      </c>
      <c r="P1" s="9" t="s">
        <v>195</v>
      </c>
    </row>
    <row r="2" spans="1:16" ht="18" customHeight="1" x14ac:dyDescent="0.25">
      <c r="A2" t="s">
        <v>10</v>
      </c>
      <c r="B2" t="s">
        <v>11</v>
      </c>
      <c r="C2" t="s">
        <v>12</v>
      </c>
      <c r="D2" s="1">
        <v>42.6</v>
      </c>
      <c r="E2" s="2">
        <v>7.8</v>
      </c>
      <c r="F2" s="3">
        <v>680</v>
      </c>
      <c r="G2" t="s">
        <v>13</v>
      </c>
      <c r="H2" t="s">
        <v>14</v>
      </c>
      <c r="I2" s="4">
        <v>2011</v>
      </c>
      <c r="J2" t="s">
        <v>15</v>
      </c>
      <c r="K2" s="5">
        <v>1240</v>
      </c>
      <c r="L2" s="1">
        <v>34.4</v>
      </c>
      <c r="M2" s="6">
        <v>1.1200000000000001</v>
      </c>
      <c r="N2" t="s">
        <v>115</v>
      </c>
      <c r="O2" s="7">
        <v>45730</v>
      </c>
      <c r="P2" s="8">
        <f>D2/F2</f>
        <v>6.2647058823529417E-2</v>
      </c>
    </row>
    <row r="3" spans="1:16" ht="18" customHeight="1" x14ac:dyDescent="0.25">
      <c r="A3" t="s">
        <v>16</v>
      </c>
      <c r="B3" t="s">
        <v>17</v>
      </c>
      <c r="C3" t="s">
        <v>18</v>
      </c>
      <c r="D3" s="1">
        <v>58.1</v>
      </c>
      <c r="E3" s="2">
        <v>9.1999999999999993</v>
      </c>
      <c r="F3" s="3">
        <v>770</v>
      </c>
      <c r="G3" t="s">
        <v>19</v>
      </c>
      <c r="H3" t="s">
        <v>14</v>
      </c>
      <c r="I3" s="4">
        <v>2008</v>
      </c>
      <c r="J3" t="s">
        <v>20</v>
      </c>
      <c r="K3" s="5">
        <v>2180</v>
      </c>
      <c r="L3" s="1">
        <v>26.7</v>
      </c>
      <c r="M3" s="6">
        <v>1.45</v>
      </c>
      <c r="N3" t="s">
        <v>116</v>
      </c>
      <c r="O3" s="7">
        <v>45779</v>
      </c>
      <c r="P3" s="8">
        <f t="shared" ref="P3:P61" si="0">D3/F3</f>
        <v>7.5454545454545455E-2</v>
      </c>
    </row>
    <row r="4" spans="1:16" ht="18" customHeight="1" x14ac:dyDescent="0.25">
      <c r="A4" t="s">
        <v>21</v>
      </c>
      <c r="B4" t="s">
        <v>22</v>
      </c>
      <c r="C4" t="s">
        <v>23</v>
      </c>
      <c r="D4" s="1">
        <v>36.4</v>
      </c>
      <c r="E4" s="2">
        <v>6.5</v>
      </c>
      <c r="F4" s="3">
        <v>495</v>
      </c>
      <c r="G4" t="s">
        <v>24</v>
      </c>
      <c r="H4" t="s">
        <v>25</v>
      </c>
      <c r="I4" s="4">
        <v>2013</v>
      </c>
      <c r="J4" t="s">
        <v>26</v>
      </c>
      <c r="K4" s="5">
        <v>960</v>
      </c>
      <c r="L4" s="1">
        <v>37.9</v>
      </c>
      <c r="M4" s="6">
        <v>0.98</v>
      </c>
      <c r="N4" t="s">
        <v>117</v>
      </c>
      <c r="O4" s="7">
        <v>45677</v>
      </c>
      <c r="P4" s="8">
        <f t="shared" si="0"/>
        <v>7.3535353535353537E-2</v>
      </c>
    </row>
    <row r="5" spans="1:16" ht="18" customHeight="1" x14ac:dyDescent="0.25">
      <c r="A5" t="s">
        <v>27</v>
      </c>
      <c r="B5" t="s">
        <v>28</v>
      </c>
      <c r="C5" t="s">
        <v>18</v>
      </c>
      <c r="D5" s="1">
        <v>61.9</v>
      </c>
      <c r="E5" s="2">
        <v>10.4</v>
      </c>
      <c r="F5" s="3">
        <v>1600</v>
      </c>
      <c r="G5" t="s">
        <v>19</v>
      </c>
      <c r="H5" t="s">
        <v>14</v>
      </c>
      <c r="I5" s="4">
        <v>2007</v>
      </c>
      <c r="J5" t="s">
        <v>29</v>
      </c>
      <c r="K5" s="5">
        <v>3050</v>
      </c>
      <c r="L5" s="1">
        <v>20.3</v>
      </c>
      <c r="M5" s="6">
        <v>1.61</v>
      </c>
      <c r="N5" t="s">
        <v>118</v>
      </c>
      <c r="O5" s="7">
        <v>45758</v>
      </c>
      <c r="P5" s="8">
        <f t="shared" si="0"/>
        <v>3.86875E-2</v>
      </c>
    </row>
    <row r="6" spans="1:16" ht="18" customHeight="1" x14ac:dyDescent="0.25">
      <c r="A6" t="s">
        <v>30</v>
      </c>
      <c r="B6" t="s">
        <v>31</v>
      </c>
      <c r="C6" t="s">
        <v>32</v>
      </c>
      <c r="D6" s="1">
        <v>74.3</v>
      </c>
      <c r="E6" s="2">
        <v>8.1</v>
      </c>
      <c r="F6" s="3">
        <v>2100</v>
      </c>
      <c r="G6" t="s">
        <v>33</v>
      </c>
      <c r="H6" t="s">
        <v>14</v>
      </c>
      <c r="I6" s="4">
        <v>2005</v>
      </c>
      <c r="J6" t="s">
        <v>34</v>
      </c>
      <c r="K6" s="5">
        <v>4120</v>
      </c>
      <c r="L6" s="1">
        <v>18</v>
      </c>
      <c r="M6" s="6">
        <v>1.33</v>
      </c>
      <c r="N6" t="s">
        <v>119</v>
      </c>
      <c r="O6" s="7">
        <v>45809</v>
      </c>
      <c r="P6" s="8">
        <f t="shared" si="0"/>
        <v>3.5380952380952381E-2</v>
      </c>
    </row>
    <row r="7" spans="1:16" ht="18" customHeight="1" x14ac:dyDescent="0.25">
      <c r="A7" t="s">
        <v>35</v>
      </c>
      <c r="B7" t="s">
        <v>36</v>
      </c>
      <c r="C7" t="s">
        <v>37</v>
      </c>
      <c r="D7" s="1">
        <v>29.7</v>
      </c>
      <c r="E7" s="2">
        <v>5.9</v>
      </c>
      <c r="F7" s="3">
        <v>620</v>
      </c>
      <c r="G7" t="s">
        <v>38</v>
      </c>
      <c r="H7" t="s">
        <v>25</v>
      </c>
      <c r="I7" s="4">
        <v>2010</v>
      </c>
      <c r="J7" t="s">
        <v>39</v>
      </c>
      <c r="K7" s="5">
        <v>780</v>
      </c>
      <c r="L7" s="1">
        <v>38.1</v>
      </c>
      <c r="M7" s="6">
        <v>0.87</v>
      </c>
      <c r="N7" t="s">
        <v>120</v>
      </c>
      <c r="O7" s="7">
        <v>45696</v>
      </c>
      <c r="P7" s="8">
        <f t="shared" si="0"/>
        <v>4.7903225806451614E-2</v>
      </c>
    </row>
    <row r="8" spans="1:16" ht="18" customHeight="1" x14ac:dyDescent="0.25">
      <c r="A8" t="s">
        <v>40</v>
      </c>
      <c r="B8" t="s">
        <v>17</v>
      </c>
      <c r="C8" t="s">
        <v>18</v>
      </c>
      <c r="D8" s="1">
        <v>33.200000000000003</v>
      </c>
      <c r="E8" s="2">
        <v>11.7</v>
      </c>
      <c r="F8" s="3">
        <v>290</v>
      </c>
      <c r="G8" t="s">
        <v>41</v>
      </c>
      <c r="H8" t="s">
        <v>25</v>
      </c>
      <c r="I8" s="4">
        <v>2012</v>
      </c>
      <c r="J8" t="s">
        <v>42</v>
      </c>
      <c r="K8" s="5">
        <v>1010</v>
      </c>
      <c r="L8" s="1">
        <v>32.9</v>
      </c>
      <c r="M8" s="6">
        <v>1.55</v>
      </c>
      <c r="N8" t="s">
        <v>116</v>
      </c>
      <c r="O8" s="7">
        <v>45796</v>
      </c>
      <c r="P8" s="8">
        <f t="shared" si="0"/>
        <v>0.11448275862068967</v>
      </c>
    </row>
    <row r="9" spans="1:16" ht="18" customHeight="1" x14ac:dyDescent="0.25">
      <c r="A9" t="s">
        <v>43</v>
      </c>
      <c r="B9" t="s">
        <v>44</v>
      </c>
      <c r="C9" t="s">
        <v>23</v>
      </c>
      <c r="D9" s="1">
        <v>27.5</v>
      </c>
      <c r="E9" s="2">
        <v>6.8</v>
      </c>
      <c r="F9" s="3">
        <v>190</v>
      </c>
      <c r="G9" t="s">
        <v>45</v>
      </c>
      <c r="H9" t="s">
        <v>25</v>
      </c>
      <c r="I9" s="4">
        <v>2014</v>
      </c>
      <c r="J9" t="s">
        <v>46</v>
      </c>
      <c r="K9" s="5">
        <v>640</v>
      </c>
      <c r="L9" s="1">
        <v>43</v>
      </c>
      <c r="M9" s="6">
        <v>1.02</v>
      </c>
      <c r="N9" t="s">
        <v>121</v>
      </c>
      <c r="O9" s="7">
        <v>45743</v>
      </c>
      <c r="P9" s="8">
        <f t="shared" si="0"/>
        <v>0.14473684210526316</v>
      </c>
    </row>
    <row r="10" spans="1:16" ht="18" customHeight="1" x14ac:dyDescent="0.25">
      <c r="A10" t="s">
        <v>47</v>
      </c>
      <c r="B10" t="s">
        <v>22</v>
      </c>
      <c r="C10" t="s">
        <v>32</v>
      </c>
      <c r="D10" s="1">
        <v>48.8</v>
      </c>
      <c r="E10" s="2">
        <v>4.2</v>
      </c>
      <c r="F10" s="3">
        <v>1750</v>
      </c>
      <c r="G10" t="s">
        <v>24</v>
      </c>
      <c r="H10" t="s">
        <v>14</v>
      </c>
      <c r="I10" s="4">
        <v>2006</v>
      </c>
      <c r="J10" t="s">
        <v>48</v>
      </c>
      <c r="K10" s="5">
        <v>3600</v>
      </c>
      <c r="L10" s="1">
        <v>13.6</v>
      </c>
      <c r="M10" s="6">
        <v>0.71</v>
      </c>
      <c r="N10" t="s">
        <v>117</v>
      </c>
      <c r="O10" s="7">
        <v>45777</v>
      </c>
      <c r="P10" s="8">
        <f t="shared" si="0"/>
        <v>2.7885714285714285E-2</v>
      </c>
    </row>
    <row r="11" spans="1:16" ht="18" customHeight="1" x14ac:dyDescent="0.25">
      <c r="A11" t="s">
        <v>49</v>
      </c>
      <c r="B11" t="s">
        <v>50</v>
      </c>
      <c r="C11" t="s">
        <v>18</v>
      </c>
      <c r="D11" s="1">
        <v>45.1</v>
      </c>
      <c r="E11" s="2">
        <v>9.9</v>
      </c>
      <c r="F11" s="3">
        <v>850</v>
      </c>
      <c r="G11" t="s">
        <v>19</v>
      </c>
      <c r="H11" t="s">
        <v>14</v>
      </c>
      <c r="I11" s="4">
        <v>2009</v>
      </c>
      <c r="J11" t="s">
        <v>51</v>
      </c>
      <c r="K11" s="5">
        <v>1420</v>
      </c>
      <c r="L11" s="1">
        <v>31.8</v>
      </c>
      <c r="M11" s="6">
        <v>1.49</v>
      </c>
      <c r="N11" t="s">
        <v>122</v>
      </c>
      <c r="O11" s="7">
        <v>45786</v>
      </c>
      <c r="P11" s="8">
        <f t="shared" si="0"/>
        <v>5.3058823529411769E-2</v>
      </c>
    </row>
    <row r="12" spans="1:16" ht="18" customHeight="1" x14ac:dyDescent="0.25">
      <c r="A12" t="s">
        <v>52</v>
      </c>
      <c r="B12" t="s">
        <v>31</v>
      </c>
      <c r="C12" t="s">
        <v>32</v>
      </c>
      <c r="D12" s="1">
        <v>39.4</v>
      </c>
      <c r="E12" s="2">
        <v>7.1</v>
      </c>
      <c r="F12" s="3">
        <v>1900</v>
      </c>
      <c r="G12" t="s">
        <v>53</v>
      </c>
      <c r="H12" t="s">
        <v>25</v>
      </c>
      <c r="I12" s="4">
        <v>2011</v>
      </c>
      <c r="J12" t="s">
        <v>54</v>
      </c>
      <c r="K12" s="5">
        <v>2890</v>
      </c>
      <c r="L12" s="1">
        <v>13.6</v>
      </c>
      <c r="M12" s="6">
        <v>1.18</v>
      </c>
      <c r="N12" t="s">
        <v>119</v>
      </c>
      <c r="O12" s="7">
        <v>45820</v>
      </c>
      <c r="P12" s="8">
        <f t="shared" si="0"/>
        <v>2.0736842105263158E-2</v>
      </c>
    </row>
    <row r="13" spans="1:16" ht="18" customHeight="1" x14ac:dyDescent="0.25">
      <c r="A13" t="s">
        <v>55</v>
      </c>
      <c r="B13" t="s">
        <v>56</v>
      </c>
      <c r="C13" t="s">
        <v>57</v>
      </c>
      <c r="D13" s="1">
        <v>22.6</v>
      </c>
      <c r="E13" s="2">
        <v>8.4</v>
      </c>
      <c r="F13" s="3">
        <v>210</v>
      </c>
      <c r="G13" t="s">
        <v>19</v>
      </c>
      <c r="H13" t="s">
        <v>58</v>
      </c>
      <c r="I13" s="4">
        <v>2015</v>
      </c>
      <c r="J13" t="s">
        <v>59</v>
      </c>
      <c r="K13" s="5">
        <v>720</v>
      </c>
      <c r="L13" s="1">
        <v>31.4</v>
      </c>
      <c r="M13" s="6">
        <v>1.27</v>
      </c>
      <c r="N13" t="s">
        <v>123</v>
      </c>
      <c r="O13" s="7">
        <v>45710</v>
      </c>
      <c r="P13" s="8">
        <f t="shared" si="0"/>
        <v>0.10761904761904763</v>
      </c>
    </row>
    <row r="14" spans="1:16" ht="18" customHeight="1" x14ac:dyDescent="0.25">
      <c r="A14" t="s">
        <v>60</v>
      </c>
      <c r="B14" t="s">
        <v>61</v>
      </c>
      <c r="C14" t="s">
        <v>18</v>
      </c>
      <c r="D14" s="1">
        <v>41</v>
      </c>
      <c r="E14" s="2">
        <v>6.2</v>
      </c>
      <c r="F14" s="3">
        <v>1350</v>
      </c>
      <c r="G14" t="s">
        <v>33</v>
      </c>
      <c r="H14" t="s">
        <v>25</v>
      </c>
      <c r="I14" s="4">
        <v>2010</v>
      </c>
      <c r="J14" t="s">
        <v>62</v>
      </c>
      <c r="K14" s="5">
        <v>1180</v>
      </c>
      <c r="L14" s="1">
        <v>34.700000000000003</v>
      </c>
      <c r="M14" s="6">
        <v>0.94</v>
      </c>
      <c r="N14" t="s">
        <v>121</v>
      </c>
      <c r="O14" s="7">
        <v>45672</v>
      </c>
      <c r="P14" s="8">
        <f t="shared" si="0"/>
        <v>3.037037037037037E-2</v>
      </c>
    </row>
    <row r="15" spans="1:16" ht="18" customHeight="1" x14ac:dyDescent="0.25">
      <c r="A15" t="s">
        <v>63</v>
      </c>
      <c r="B15" t="s">
        <v>31</v>
      </c>
      <c r="C15" t="s">
        <v>32</v>
      </c>
      <c r="D15" s="1">
        <v>37.799999999999997</v>
      </c>
      <c r="E15" s="2">
        <v>7.6</v>
      </c>
      <c r="F15" s="3">
        <v>1300</v>
      </c>
      <c r="G15" t="s">
        <v>19</v>
      </c>
      <c r="H15" t="s">
        <v>25</v>
      </c>
      <c r="I15" s="4">
        <v>2008</v>
      </c>
      <c r="J15" t="s">
        <v>64</v>
      </c>
      <c r="K15" s="5">
        <v>2450</v>
      </c>
      <c r="L15" s="1">
        <v>15.4</v>
      </c>
      <c r="M15" s="6">
        <v>1.21</v>
      </c>
      <c r="N15" t="s">
        <v>119</v>
      </c>
      <c r="O15" s="7">
        <v>45802</v>
      </c>
      <c r="P15" s="8">
        <f t="shared" si="0"/>
        <v>2.9076923076923073E-2</v>
      </c>
    </row>
    <row r="16" spans="1:16" ht="18" customHeight="1" x14ac:dyDescent="0.25">
      <c r="A16" t="s">
        <v>65</v>
      </c>
      <c r="B16" t="s">
        <v>66</v>
      </c>
      <c r="C16" t="s">
        <v>67</v>
      </c>
      <c r="D16" s="1">
        <v>24.9</v>
      </c>
      <c r="E16" s="2">
        <v>5.4</v>
      </c>
      <c r="F16" s="3">
        <v>550</v>
      </c>
      <c r="G16" t="s">
        <v>24</v>
      </c>
      <c r="H16" t="s">
        <v>58</v>
      </c>
      <c r="I16" s="4">
        <v>2013</v>
      </c>
      <c r="J16" t="s">
        <v>68</v>
      </c>
      <c r="K16" s="5">
        <v>590</v>
      </c>
      <c r="L16" s="1">
        <v>42.2</v>
      </c>
      <c r="M16" s="6">
        <v>0.83</v>
      </c>
      <c r="N16" t="s">
        <v>120</v>
      </c>
      <c r="O16" s="7">
        <v>45719</v>
      </c>
      <c r="P16" s="8">
        <f t="shared" si="0"/>
        <v>4.527272727272727E-2</v>
      </c>
    </row>
    <row r="17" spans="1:16" ht="18" customHeight="1" x14ac:dyDescent="0.25">
      <c r="A17" t="s">
        <v>69</v>
      </c>
      <c r="B17" t="s">
        <v>31</v>
      </c>
      <c r="C17" t="s">
        <v>70</v>
      </c>
      <c r="D17" s="1">
        <v>53.2</v>
      </c>
      <c r="E17" s="2">
        <v>12.9</v>
      </c>
      <c r="F17" s="3">
        <v>124</v>
      </c>
      <c r="G17" t="s">
        <v>71</v>
      </c>
      <c r="H17" t="s">
        <v>14</v>
      </c>
      <c r="I17" s="4">
        <v>2007</v>
      </c>
      <c r="J17" t="s">
        <v>72</v>
      </c>
      <c r="K17" s="5">
        <v>1680</v>
      </c>
      <c r="L17" s="1">
        <v>31.7</v>
      </c>
      <c r="M17" s="6">
        <v>1.88</v>
      </c>
      <c r="N17" t="s">
        <v>119</v>
      </c>
      <c r="O17" s="7">
        <v>45826</v>
      </c>
      <c r="P17" s="8">
        <f t="shared" si="0"/>
        <v>0.42903225806451617</v>
      </c>
    </row>
    <row r="18" spans="1:16" ht="18" customHeight="1" x14ac:dyDescent="0.25">
      <c r="A18" t="s">
        <v>73</v>
      </c>
      <c r="B18" t="s">
        <v>31</v>
      </c>
      <c r="C18" t="s">
        <v>70</v>
      </c>
      <c r="D18" s="1">
        <v>49.6</v>
      </c>
      <c r="E18" s="2">
        <v>13.5</v>
      </c>
      <c r="F18" s="3">
        <v>68</v>
      </c>
      <c r="G18" t="s">
        <v>74</v>
      </c>
      <c r="H18" t="s">
        <v>14</v>
      </c>
      <c r="I18" s="4">
        <v>2010</v>
      </c>
      <c r="J18" t="s">
        <v>75</v>
      </c>
      <c r="K18" s="5">
        <v>4300</v>
      </c>
      <c r="L18" s="1">
        <v>11.5</v>
      </c>
      <c r="M18" s="6">
        <v>2.02</v>
      </c>
      <c r="N18" t="s">
        <v>119</v>
      </c>
      <c r="O18" s="7">
        <v>45828</v>
      </c>
      <c r="P18" s="8">
        <f t="shared" si="0"/>
        <v>0.72941176470588243</v>
      </c>
    </row>
    <row r="19" spans="1:16" ht="18" customHeight="1" x14ac:dyDescent="0.25">
      <c r="A19" t="s">
        <v>76</v>
      </c>
      <c r="B19" t="s">
        <v>77</v>
      </c>
      <c r="C19" t="s">
        <v>23</v>
      </c>
      <c r="D19" s="1">
        <v>26.3</v>
      </c>
      <c r="E19" s="2">
        <v>6</v>
      </c>
      <c r="F19" s="3">
        <v>730</v>
      </c>
      <c r="G19" t="s">
        <v>19</v>
      </c>
      <c r="H19" t="s">
        <v>58</v>
      </c>
      <c r="I19" s="4">
        <v>2014</v>
      </c>
      <c r="J19" t="s">
        <v>78</v>
      </c>
      <c r="K19" s="5">
        <v>810</v>
      </c>
      <c r="L19" s="1">
        <v>32.5</v>
      </c>
      <c r="M19" s="6">
        <v>0.96</v>
      </c>
      <c r="N19" t="s">
        <v>123</v>
      </c>
      <c r="O19" s="7">
        <v>45702</v>
      </c>
      <c r="P19" s="8">
        <f t="shared" si="0"/>
        <v>3.6027397260273972E-2</v>
      </c>
    </row>
    <row r="20" spans="1:16" ht="18" customHeight="1" x14ac:dyDescent="0.25">
      <c r="A20" t="s">
        <v>79</v>
      </c>
      <c r="B20" t="s">
        <v>80</v>
      </c>
      <c r="C20" t="s">
        <v>32</v>
      </c>
      <c r="D20" s="1">
        <v>19.8</v>
      </c>
      <c r="E20" s="2">
        <v>5.0999999999999996</v>
      </c>
      <c r="F20" s="3">
        <v>480</v>
      </c>
      <c r="G20" t="s">
        <v>33</v>
      </c>
      <c r="H20" t="s">
        <v>58</v>
      </c>
      <c r="I20" s="4">
        <v>2012</v>
      </c>
      <c r="J20" t="s">
        <v>81</v>
      </c>
      <c r="K20" s="5">
        <v>670</v>
      </c>
      <c r="L20" s="1">
        <v>29.6</v>
      </c>
      <c r="M20" s="6">
        <v>0.79</v>
      </c>
      <c r="N20" t="s">
        <v>124</v>
      </c>
      <c r="O20" s="7">
        <v>45754</v>
      </c>
      <c r="P20" s="8">
        <f t="shared" si="0"/>
        <v>4.1250000000000002E-2</v>
      </c>
    </row>
    <row r="21" spans="1:16" ht="18" customHeight="1" x14ac:dyDescent="0.25">
      <c r="A21" t="s">
        <v>82</v>
      </c>
      <c r="B21" t="s">
        <v>56</v>
      </c>
      <c r="C21" t="s">
        <v>18</v>
      </c>
      <c r="D21" s="1">
        <v>21.4</v>
      </c>
      <c r="E21" s="2">
        <v>8.8000000000000007</v>
      </c>
      <c r="F21" s="3">
        <v>160</v>
      </c>
      <c r="G21" t="s">
        <v>41</v>
      </c>
      <c r="H21" t="s">
        <v>58</v>
      </c>
      <c r="I21" s="4">
        <v>2015</v>
      </c>
      <c r="J21" t="s">
        <v>83</v>
      </c>
      <c r="K21" s="5">
        <v>540</v>
      </c>
      <c r="L21" s="1">
        <v>39.6</v>
      </c>
      <c r="M21" s="6">
        <v>1.34</v>
      </c>
      <c r="N21" t="s">
        <v>123</v>
      </c>
      <c r="O21" s="7">
        <v>45735</v>
      </c>
      <c r="P21" s="8">
        <f t="shared" si="0"/>
        <v>0.13374999999999998</v>
      </c>
    </row>
    <row r="22" spans="1:16" ht="18" customHeight="1" x14ac:dyDescent="0.25">
      <c r="A22" t="s">
        <v>84</v>
      </c>
      <c r="B22" t="s">
        <v>80</v>
      </c>
      <c r="C22" t="s">
        <v>37</v>
      </c>
      <c r="D22" s="1">
        <v>28.1</v>
      </c>
      <c r="E22" s="2">
        <v>4.9000000000000004</v>
      </c>
      <c r="F22" s="3">
        <v>1150</v>
      </c>
      <c r="G22" t="s">
        <v>38</v>
      </c>
      <c r="H22" t="s">
        <v>25</v>
      </c>
      <c r="I22" s="4">
        <v>2009</v>
      </c>
      <c r="J22" t="s">
        <v>85</v>
      </c>
      <c r="K22" s="5">
        <v>980</v>
      </c>
      <c r="L22" s="1">
        <v>28.7</v>
      </c>
      <c r="M22" s="6">
        <v>0.81</v>
      </c>
      <c r="N22" t="s">
        <v>124</v>
      </c>
      <c r="O22" s="7">
        <v>45793</v>
      </c>
      <c r="P22" s="8">
        <f t="shared" si="0"/>
        <v>2.4434782608695655E-2</v>
      </c>
    </row>
    <row r="23" spans="1:16" ht="18" customHeight="1" x14ac:dyDescent="0.25">
      <c r="A23" t="s">
        <v>86</v>
      </c>
      <c r="B23" t="s">
        <v>31</v>
      </c>
      <c r="C23" t="s">
        <v>70</v>
      </c>
      <c r="D23" s="1">
        <v>44.7</v>
      </c>
      <c r="E23" s="2">
        <v>11.2</v>
      </c>
      <c r="F23" s="3">
        <v>60</v>
      </c>
      <c r="G23" t="s">
        <v>87</v>
      </c>
      <c r="H23" t="s">
        <v>14</v>
      </c>
      <c r="I23" s="4">
        <v>2011</v>
      </c>
      <c r="J23" t="s">
        <v>88</v>
      </c>
      <c r="K23" s="5">
        <v>5200</v>
      </c>
      <c r="L23" s="1">
        <v>8.6</v>
      </c>
      <c r="M23" s="6">
        <v>1.74</v>
      </c>
      <c r="N23" t="s">
        <v>119</v>
      </c>
      <c r="O23" s="7">
        <v>45830</v>
      </c>
      <c r="P23" s="8">
        <f t="shared" si="0"/>
        <v>0.745</v>
      </c>
    </row>
    <row r="24" spans="1:16" ht="18" customHeight="1" x14ac:dyDescent="0.25">
      <c r="A24" t="s">
        <v>89</v>
      </c>
      <c r="B24" t="s">
        <v>50</v>
      </c>
      <c r="C24" t="s">
        <v>18</v>
      </c>
      <c r="D24" s="1">
        <v>31.9</v>
      </c>
      <c r="E24" s="2">
        <v>9.4</v>
      </c>
      <c r="F24" s="3">
        <v>280</v>
      </c>
      <c r="G24" t="s">
        <v>41</v>
      </c>
      <c r="H24" t="s">
        <v>25</v>
      </c>
      <c r="I24" s="4">
        <v>2013</v>
      </c>
      <c r="J24" t="s">
        <v>90</v>
      </c>
      <c r="K24" s="5">
        <v>700</v>
      </c>
      <c r="L24" s="1">
        <v>45.6</v>
      </c>
      <c r="M24" s="6">
        <v>1.41</v>
      </c>
      <c r="N24" t="s">
        <v>122</v>
      </c>
      <c r="O24" s="7">
        <v>45765</v>
      </c>
      <c r="P24" s="8">
        <f t="shared" si="0"/>
        <v>0.11392857142857142</v>
      </c>
    </row>
    <row r="25" spans="1:16" ht="18" customHeight="1" x14ac:dyDescent="0.25">
      <c r="A25" t="s">
        <v>91</v>
      </c>
      <c r="B25" t="s">
        <v>11</v>
      </c>
      <c r="C25" t="s">
        <v>92</v>
      </c>
      <c r="D25" s="1">
        <v>23.5</v>
      </c>
      <c r="E25" s="2">
        <v>3.8</v>
      </c>
      <c r="F25" s="3">
        <v>700</v>
      </c>
      <c r="G25" t="s">
        <v>24</v>
      </c>
      <c r="H25" t="s">
        <v>58</v>
      </c>
      <c r="I25" s="4">
        <v>2012</v>
      </c>
      <c r="J25" t="s">
        <v>93</v>
      </c>
      <c r="K25" s="5">
        <v>890</v>
      </c>
      <c r="L25" s="1">
        <v>26.4</v>
      </c>
      <c r="M25" s="6">
        <v>0.68</v>
      </c>
      <c r="N25" t="s">
        <v>115</v>
      </c>
      <c r="O25" s="7">
        <v>45688</v>
      </c>
      <c r="P25" s="8">
        <f t="shared" si="0"/>
        <v>3.3571428571428572E-2</v>
      </c>
    </row>
    <row r="26" spans="1:16" ht="18" customHeight="1" x14ac:dyDescent="0.25">
      <c r="A26" t="s">
        <v>94</v>
      </c>
      <c r="B26" t="s">
        <v>66</v>
      </c>
      <c r="C26" t="s">
        <v>67</v>
      </c>
      <c r="D26" s="1">
        <v>18.2</v>
      </c>
      <c r="E26" s="2">
        <v>5.6</v>
      </c>
      <c r="F26" s="3">
        <v>300</v>
      </c>
      <c r="G26" t="s">
        <v>33</v>
      </c>
      <c r="H26" t="s">
        <v>58</v>
      </c>
      <c r="I26" s="4">
        <v>2014</v>
      </c>
      <c r="J26" t="s">
        <v>95</v>
      </c>
      <c r="K26" s="5">
        <v>510</v>
      </c>
      <c r="L26" s="1">
        <v>35.700000000000003</v>
      </c>
      <c r="M26" s="6">
        <v>0.88</v>
      </c>
      <c r="N26" t="s">
        <v>120</v>
      </c>
      <c r="O26" s="7">
        <v>45727</v>
      </c>
      <c r="P26" s="8">
        <f t="shared" si="0"/>
        <v>6.0666666666666667E-2</v>
      </c>
    </row>
    <row r="27" spans="1:16" ht="18" customHeight="1" x14ac:dyDescent="0.25">
      <c r="A27" t="s">
        <v>96</v>
      </c>
      <c r="B27" t="s">
        <v>31</v>
      </c>
      <c r="C27" t="s">
        <v>32</v>
      </c>
      <c r="D27" s="1">
        <v>34.6</v>
      </c>
      <c r="E27" s="2">
        <v>7.3</v>
      </c>
      <c r="F27" s="3">
        <v>1200</v>
      </c>
      <c r="G27" t="s">
        <v>19</v>
      </c>
      <c r="H27" t="s">
        <v>25</v>
      </c>
      <c r="I27" s="4">
        <v>2008</v>
      </c>
      <c r="J27" t="s">
        <v>97</v>
      </c>
      <c r="K27" s="5">
        <v>2100</v>
      </c>
      <c r="L27" s="1">
        <v>16.5</v>
      </c>
      <c r="M27" s="6">
        <v>1.1399999999999999</v>
      </c>
      <c r="N27" t="s">
        <v>124</v>
      </c>
      <c r="O27" s="7">
        <v>45805</v>
      </c>
      <c r="P27" s="8">
        <f t="shared" si="0"/>
        <v>2.8833333333333336E-2</v>
      </c>
    </row>
    <row r="28" spans="1:16" ht="18" customHeight="1" x14ac:dyDescent="0.25">
      <c r="A28" t="s">
        <v>98</v>
      </c>
      <c r="B28" t="s">
        <v>99</v>
      </c>
      <c r="C28" t="s">
        <v>18</v>
      </c>
      <c r="D28" s="1">
        <v>30.5</v>
      </c>
      <c r="E28" s="2">
        <v>8.6</v>
      </c>
      <c r="F28" s="3">
        <v>800</v>
      </c>
      <c r="G28" t="s">
        <v>19</v>
      </c>
      <c r="H28" t="s">
        <v>25</v>
      </c>
      <c r="I28" s="4">
        <v>2010</v>
      </c>
      <c r="J28" t="s">
        <v>100</v>
      </c>
      <c r="K28" s="5">
        <v>760</v>
      </c>
      <c r="L28" s="1">
        <v>40.1</v>
      </c>
      <c r="M28" s="6">
        <v>1.19</v>
      </c>
      <c r="N28" t="s">
        <v>122</v>
      </c>
      <c r="O28" s="7">
        <v>45771</v>
      </c>
      <c r="P28" s="8">
        <f t="shared" si="0"/>
        <v>3.8124999999999999E-2</v>
      </c>
    </row>
    <row r="29" spans="1:16" ht="18" customHeight="1" x14ac:dyDescent="0.25">
      <c r="A29" t="s">
        <v>101</v>
      </c>
      <c r="B29" t="s">
        <v>102</v>
      </c>
      <c r="C29" t="s">
        <v>70</v>
      </c>
      <c r="D29" s="1">
        <v>51.8</v>
      </c>
      <c r="E29" s="2">
        <v>14.1</v>
      </c>
      <c r="F29" s="3">
        <v>63</v>
      </c>
      <c r="G29" t="s">
        <v>74</v>
      </c>
      <c r="H29" t="s">
        <v>14</v>
      </c>
      <c r="I29" s="4">
        <v>2009</v>
      </c>
      <c r="J29" t="s">
        <v>103</v>
      </c>
      <c r="K29" s="5">
        <v>4800</v>
      </c>
      <c r="L29" s="1">
        <v>10.8</v>
      </c>
      <c r="M29" s="6">
        <v>2.21</v>
      </c>
      <c r="N29" t="s">
        <v>119</v>
      </c>
      <c r="O29" s="7">
        <v>45833</v>
      </c>
      <c r="P29" s="8">
        <f t="shared" si="0"/>
        <v>0.82222222222222219</v>
      </c>
    </row>
    <row r="30" spans="1:16" ht="18" customHeight="1" x14ac:dyDescent="0.25">
      <c r="A30" t="s">
        <v>104</v>
      </c>
      <c r="B30" t="s">
        <v>44</v>
      </c>
      <c r="C30" t="s">
        <v>23</v>
      </c>
      <c r="D30" s="1">
        <v>17.3</v>
      </c>
      <c r="E30" s="2">
        <v>6.1</v>
      </c>
      <c r="F30" s="3">
        <v>95</v>
      </c>
      <c r="G30" t="s">
        <v>45</v>
      </c>
      <c r="H30" t="s">
        <v>105</v>
      </c>
      <c r="I30" s="4">
        <v>2016</v>
      </c>
      <c r="J30" t="s">
        <v>106</v>
      </c>
      <c r="K30" s="5">
        <v>430</v>
      </c>
      <c r="L30" s="1">
        <v>40.200000000000003</v>
      </c>
      <c r="M30" s="6">
        <v>0.92</v>
      </c>
      <c r="N30" t="s">
        <v>121</v>
      </c>
      <c r="O30" s="7">
        <v>45715</v>
      </c>
      <c r="P30" s="8">
        <f t="shared" si="0"/>
        <v>0.18210526315789474</v>
      </c>
    </row>
    <row r="31" spans="1:16" ht="18" customHeight="1" x14ac:dyDescent="0.25">
      <c r="A31" t="s">
        <v>107</v>
      </c>
      <c r="B31" t="s">
        <v>108</v>
      </c>
      <c r="C31" t="s">
        <v>32</v>
      </c>
      <c r="D31" s="1">
        <v>26.8</v>
      </c>
      <c r="E31" s="2">
        <v>5.7</v>
      </c>
      <c r="F31" s="3">
        <v>2000</v>
      </c>
      <c r="G31" t="s">
        <v>33</v>
      </c>
      <c r="H31" t="s">
        <v>25</v>
      </c>
      <c r="I31" s="4">
        <v>2011</v>
      </c>
      <c r="J31" t="s">
        <v>109</v>
      </c>
      <c r="K31" s="5">
        <v>1550</v>
      </c>
      <c r="L31" s="1">
        <v>17.3</v>
      </c>
      <c r="M31" s="6">
        <v>1.07</v>
      </c>
      <c r="N31" t="s">
        <v>120</v>
      </c>
      <c r="O31" s="7">
        <v>45783</v>
      </c>
      <c r="P31" s="8">
        <f t="shared" si="0"/>
        <v>1.34E-2</v>
      </c>
    </row>
    <row r="32" spans="1:16" ht="18" customHeight="1" x14ac:dyDescent="0.25">
      <c r="A32" t="s">
        <v>125</v>
      </c>
      <c r="B32" t="s">
        <v>31</v>
      </c>
      <c r="C32" t="s">
        <v>32</v>
      </c>
      <c r="D32" s="1">
        <v>40.200000000000003</v>
      </c>
      <c r="E32" s="2">
        <v>7</v>
      </c>
      <c r="F32" s="3">
        <v>1800</v>
      </c>
      <c r="G32" t="s">
        <v>53</v>
      </c>
      <c r="H32" t="s">
        <v>25</v>
      </c>
      <c r="I32" s="4">
        <v>2009</v>
      </c>
      <c r="J32" t="s">
        <v>126</v>
      </c>
      <c r="K32" s="5">
        <v>2650</v>
      </c>
      <c r="L32" s="1">
        <v>15.2</v>
      </c>
      <c r="M32" s="6">
        <v>1.0900000000000001</v>
      </c>
      <c r="N32" t="s">
        <v>119</v>
      </c>
      <c r="O32" s="7">
        <v>45807</v>
      </c>
      <c r="P32" s="8">
        <f t="shared" si="0"/>
        <v>2.2333333333333334E-2</v>
      </c>
    </row>
    <row r="33" spans="1:16" ht="18" customHeight="1" x14ac:dyDescent="0.25">
      <c r="A33" t="s">
        <v>127</v>
      </c>
      <c r="B33" t="s">
        <v>128</v>
      </c>
      <c r="C33" t="s">
        <v>92</v>
      </c>
      <c r="D33" s="1">
        <v>20.6</v>
      </c>
      <c r="E33" s="2">
        <v>4.5</v>
      </c>
      <c r="F33" s="3">
        <v>210</v>
      </c>
      <c r="G33" t="s">
        <v>24</v>
      </c>
      <c r="H33" t="s">
        <v>58</v>
      </c>
      <c r="I33" s="4">
        <v>2013</v>
      </c>
      <c r="J33" t="s">
        <v>129</v>
      </c>
      <c r="K33" s="5">
        <v>620</v>
      </c>
      <c r="L33" s="1">
        <v>33.200000000000003</v>
      </c>
      <c r="M33" s="6">
        <v>0.74</v>
      </c>
      <c r="N33" t="s">
        <v>120</v>
      </c>
      <c r="O33" s="7">
        <v>45724</v>
      </c>
      <c r="P33" s="8">
        <f t="shared" si="0"/>
        <v>9.8095238095238096E-2</v>
      </c>
    </row>
    <row r="34" spans="1:16" ht="18" customHeight="1" x14ac:dyDescent="0.25">
      <c r="A34" t="s">
        <v>130</v>
      </c>
      <c r="B34" t="s">
        <v>131</v>
      </c>
      <c r="C34" t="s">
        <v>18</v>
      </c>
      <c r="D34" s="1">
        <v>15.4</v>
      </c>
      <c r="E34" s="2">
        <v>7.9</v>
      </c>
      <c r="F34" s="3">
        <v>40</v>
      </c>
      <c r="G34" t="s">
        <v>19</v>
      </c>
      <c r="H34" t="s">
        <v>105</v>
      </c>
      <c r="I34" s="4">
        <v>2016</v>
      </c>
      <c r="J34" t="s">
        <v>132</v>
      </c>
      <c r="K34" s="5">
        <v>380</v>
      </c>
      <c r="L34" s="1">
        <v>40.5</v>
      </c>
      <c r="M34" s="6">
        <v>1.03</v>
      </c>
      <c r="N34" t="s">
        <v>123</v>
      </c>
      <c r="O34" s="7">
        <v>45707</v>
      </c>
      <c r="P34" s="8">
        <f t="shared" si="0"/>
        <v>0.38500000000000001</v>
      </c>
    </row>
    <row r="35" spans="1:16" ht="18" customHeight="1" x14ac:dyDescent="0.25">
      <c r="A35" t="s">
        <v>133</v>
      </c>
      <c r="B35" t="s">
        <v>22</v>
      </c>
      <c r="C35" t="s">
        <v>32</v>
      </c>
      <c r="D35" s="1">
        <v>25.1</v>
      </c>
      <c r="E35" s="2">
        <v>6.3</v>
      </c>
      <c r="F35" s="3">
        <v>1450</v>
      </c>
      <c r="G35" t="s">
        <v>24</v>
      </c>
      <c r="H35" t="s">
        <v>25</v>
      </c>
      <c r="I35" s="4">
        <v>2010</v>
      </c>
      <c r="J35" t="s">
        <v>134</v>
      </c>
      <c r="K35" s="5">
        <v>1320</v>
      </c>
      <c r="L35" s="1">
        <v>19</v>
      </c>
      <c r="M35" s="6">
        <v>0.99</v>
      </c>
      <c r="N35" t="s">
        <v>117</v>
      </c>
      <c r="O35" s="7">
        <v>45761</v>
      </c>
      <c r="P35" s="8">
        <f t="shared" si="0"/>
        <v>1.7310344827586206E-2</v>
      </c>
    </row>
    <row r="36" spans="1:16" ht="18" customHeight="1" x14ac:dyDescent="0.25">
      <c r="A36" t="s">
        <v>135</v>
      </c>
      <c r="B36" t="s">
        <v>44</v>
      </c>
      <c r="C36" t="s">
        <v>23</v>
      </c>
      <c r="D36" s="1">
        <v>23.8</v>
      </c>
      <c r="E36" s="2">
        <v>7.4</v>
      </c>
      <c r="F36" s="3">
        <v>330</v>
      </c>
      <c r="G36" t="s">
        <v>45</v>
      </c>
      <c r="H36" t="s">
        <v>58</v>
      </c>
      <c r="I36" s="4">
        <v>2014</v>
      </c>
      <c r="J36" t="s">
        <v>136</v>
      </c>
      <c r="K36" s="5">
        <v>590</v>
      </c>
      <c r="L36" s="1">
        <v>40.299999999999997</v>
      </c>
      <c r="M36" s="6">
        <v>1.1499999999999999</v>
      </c>
      <c r="N36" t="s">
        <v>121</v>
      </c>
      <c r="O36" s="7">
        <v>45737</v>
      </c>
      <c r="P36" s="8">
        <f t="shared" si="0"/>
        <v>7.2121212121212128E-2</v>
      </c>
    </row>
    <row r="37" spans="1:16" ht="18" customHeight="1" x14ac:dyDescent="0.25">
      <c r="A37" t="s">
        <v>137</v>
      </c>
      <c r="B37" t="s">
        <v>138</v>
      </c>
      <c r="C37" t="s">
        <v>18</v>
      </c>
      <c r="D37" s="1">
        <v>47.9</v>
      </c>
      <c r="E37" s="2">
        <v>10.8</v>
      </c>
      <c r="F37" s="3">
        <v>700</v>
      </c>
      <c r="G37" t="s">
        <v>41</v>
      </c>
      <c r="H37" t="s">
        <v>14</v>
      </c>
      <c r="I37" s="4">
        <v>2016</v>
      </c>
      <c r="J37" t="s">
        <v>139</v>
      </c>
      <c r="K37" s="5">
        <v>1120</v>
      </c>
      <c r="L37" s="1">
        <v>42.8</v>
      </c>
      <c r="M37" s="6">
        <v>1.52</v>
      </c>
      <c r="N37" t="s">
        <v>122</v>
      </c>
      <c r="O37" s="7">
        <v>45813</v>
      </c>
      <c r="P37" s="8">
        <f t="shared" si="0"/>
        <v>6.8428571428571422E-2</v>
      </c>
    </row>
    <row r="38" spans="1:16" ht="18" customHeight="1" x14ac:dyDescent="0.25">
      <c r="A38" t="s">
        <v>140</v>
      </c>
      <c r="B38" t="s">
        <v>31</v>
      </c>
      <c r="C38" t="s">
        <v>32</v>
      </c>
      <c r="D38" s="1">
        <v>18.899999999999999</v>
      </c>
      <c r="E38" s="2">
        <v>6.7</v>
      </c>
      <c r="F38" s="3">
        <v>610</v>
      </c>
      <c r="G38" t="s">
        <v>19</v>
      </c>
      <c r="H38" t="s">
        <v>58</v>
      </c>
      <c r="I38" s="4">
        <v>2012</v>
      </c>
      <c r="J38" t="s">
        <v>141</v>
      </c>
      <c r="K38" s="5">
        <v>740</v>
      </c>
      <c r="L38" s="1">
        <v>25.5</v>
      </c>
      <c r="M38" s="6">
        <v>1.05</v>
      </c>
      <c r="N38" t="s">
        <v>124</v>
      </c>
      <c r="O38" s="7">
        <v>45790</v>
      </c>
      <c r="P38" s="8">
        <f t="shared" si="0"/>
        <v>3.0983606557377048E-2</v>
      </c>
    </row>
    <row r="39" spans="1:16" ht="18" customHeight="1" x14ac:dyDescent="0.25">
      <c r="A39" t="s">
        <v>142</v>
      </c>
      <c r="B39" t="s">
        <v>61</v>
      </c>
      <c r="C39" t="s">
        <v>37</v>
      </c>
      <c r="D39" s="1">
        <v>32.4</v>
      </c>
      <c r="E39" s="2">
        <v>6.9</v>
      </c>
      <c r="F39" s="3">
        <v>950</v>
      </c>
      <c r="G39" t="s">
        <v>24</v>
      </c>
      <c r="H39" t="s">
        <v>25</v>
      </c>
      <c r="I39" s="4">
        <v>2013</v>
      </c>
      <c r="J39" t="s">
        <v>143</v>
      </c>
      <c r="K39" s="5">
        <v>1450</v>
      </c>
      <c r="L39" s="1">
        <v>22.3</v>
      </c>
      <c r="M39" s="6">
        <v>0.9</v>
      </c>
      <c r="N39" t="s">
        <v>121</v>
      </c>
      <c r="O39" s="7">
        <v>45749</v>
      </c>
      <c r="P39" s="8">
        <f t="shared" si="0"/>
        <v>3.4105263157894736E-2</v>
      </c>
    </row>
    <row r="40" spans="1:16" ht="18" customHeight="1" x14ac:dyDescent="0.25">
      <c r="A40" t="s">
        <v>144</v>
      </c>
      <c r="B40" t="s">
        <v>31</v>
      </c>
      <c r="C40" t="s">
        <v>70</v>
      </c>
      <c r="D40" s="1">
        <v>46.3</v>
      </c>
      <c r="E40" s="2">
        <v>12.1</v>
      </c>
      <c r="F40" s="3">
        <v>65</v>
      </c>
      <c r="G40" t="s">
        <v>145</v>
      </c>
      <c r="H40" t="s">
        <v>14</v>
      </c>
      <c r="I40" s="4">
        <v>2010</v>
      </c>
      <c r="J40" t="s">
        <v>146</v>
      </c>
      <c r="K40" s="5">
        <v>2900</v>
      </c>
      <c r="L40" s="1">
        <v>16</v>
      </c>
      <c r="M40" s="6">
        <v>1.67</v>
      </c>
      <c r="N40" t="s">
        <v>119</v>
      </c>
      <c r="O40" s="7">
        <v>45823</v>
      </c>
      <c r="P40" s="8">
        <f t="shared" si="0"/>
        <v>0.71230769230769231</v>
      </c>
    </row>
    <row r="41" spans="1:16" ht="18" customHeight="1" x14ac:dyDescent="0.25">
      <c r="A41" t="s">
        <v>147</v>
      </c>
      <c r="B41" t="s">
        <v>56</v>
      </c>
      <c r="C41" t="s">
        <v>57</v>
      </c>
      <c r="D41" s="1">
        <v>16.7</v>
      </c>
      <c r="E41" s="2">
        <v>8</v>
      </c>
      <c r="F41" s="3">
        <v>110</v>
      </c>
      <c r="G41" t="s">
        <v>33</v>
      </c>
      <c r="H41" t="s">
        <v>105</v>
      </c>
      <c r="I41" s="4">
        <v>2017</v>
      </c>
      <c r="J41" t="s">
        <v>148</v>
      </c>
      <c r="K41" s="5">
        <v>350</v>
      </c>
      <c r="L41" s="1">
        <v>47.7</v>
      </c>
      <c r="M41" s="6">
        <v>1.1100000000000001</v>
      </c>
      <c r="N41" t="s">
        <v>123</v>
      </c>
      <c r="O41" s="7">
        <v>45712</v>
      </c>
      <c r="P41" s="8">
        <f t="shared" si="0"/>
        <v>0.15181818181818182</v>
      </c>
    </row>
    <row r="42" spans="1:16" ht="18" customHeight="1" x14ac:dyDescent="0.25">
      <c r="A42" t="s">
        <v>149</v>
      </c>
      <c r="B42" t="s">
        <v>31</v>
      </c>
      <c r="C42" t="s">
        <v>32</v>
      </c>
      <c r="D42" s="1">
        <v>22.9</v>
      </c>
      <c r="E42" s="2">
        <v>5.8</v>
      </c>
      <c r="F42" s="3">
        <v>1500</v>
      </c>
      <c r="G42" t="s">
        <v>53</v>
      </c>
      <c r="H42" t="s">
        <v>58</v>
      </c>
      <c r="I42" s="4">
        <v>2011</v>
      </c>
      <c r="J42" t="s">
        <v>150</v>
      </c>
      <c r="K42" s="5">
        <v>1780</v>
      </c>
      <c r="L42" s="1">
        <v>12.9</v>
      </c>
      <c r="M42" s="6">
        <v>0.86</v>
      </c>
      <c r="N42" t="s">
        <v>119</v>
      </c>
      <c r="O42" s="7">
        <v>45798</v>
      </c>
      <c r="P42" s="8">
        <f t="shared" si="0"/>
        <v>1.5266666666666666E-2</v>
      </c>
    </row>
    <row r="43" spans="1:16" ht="18" customHeight="1" x14ac:dyDescent="0.25">
      <c r="A43" t="s">
        <v>151</v>
      </c>
      <c r="B43" t="s">
        <v>152</v>
      </c>
      <c r="C43" t="s">
        <v>18</v>
      </c>
      <c r="D43" s="1">
        <v>34.9</v>
      </c>
      <c r="E43" s="2">
        <v>9.1</v>
      </c>
      <c r="F43" s="3">
        <v>450</v>
      </c>
      <c r="G43" t="s">
        <v>19</v>
      </c>
      <c r="H43" t="s">
        <v>25</v>
      </c>
      <c r="I43" s="4">
        <v>2011</v>
      </c>
      <c r="J43" t="s">
        <v>153</v>
      </c>
      <c r="K43" s="5">
        <v>830</v>
      </c>
      <c r="L43" s="1">
        <v>42</v>
      </c>
      <c r="M43" s="6">
        <v>1.38</v>
      </c>
      <c r="N43" t="s">
        <v>122</v>
      </c>
      <c r="O43" s="7">
        <v>45767</v>
      </c>
      <c r="P43" s="8">
        <f t="shared" si="0"/>
        <v>7.7555555555555558E-2</v>
      </c>
    </row>
    <row r="44" spans="1:16" ht="18" customHeight="1" x14ac:dyDescent="0.25">
      <c r="A44" t="s">
        <v>154</v>
      </c>
      <c r="B44" t="s">
        <v>31</v>
      </c>
      <c r="C44" t="s">
        <v>32</v>
      </c>
      <c r="D44" s="1">
        <v>29.3</v>
      </c>
      <c r="E44" s="2">
        <v>7.5</v>
      </c>
      <c r="F44" s="3">
        <v>1400</v>
      </c>
      <c r="G44" t="s">
        <v>19</v>
      </c>
      <c r="H44" t="s">
        <v>25</v>
      </c>
      <c r="I44" s="4">
        <v>2009</v>
      </c>
      <c r="J44" t="s">
        <v>155</v>
      </c>
      <c r="K44" s="5">
        <v>1610</v>
      </c>
      <c r="L44" s="1">
        <v>18.2</v>
      </c>
      <c r="M44" s="6">
        <v>1.1599999999999999</v>
      </c>
      <c r="N44" t="s">
        <v>124</v>
      </c>
      <c r="O44" s="7">
        <v>45804</v>
      </c>
      <c r="P44" s="8">
        <f t="shared" si="0"/>
        <v>2.0928571428571428E-2</v>
      </c>
    </row>
    <row r="45" spans="1:16" ht="18" customHeight="1" x14ac:dyDescent="0.25">
      <c r="A45" t="s">
        <v>156</v>
      </c>
      <c r="B45" t="s">
        <v>44</v>
      </c>
      <c r="C45" t="s">
        <v>23</v>
      </c>
      <c r="D45" s="1">
        <v>19.600000000000001</v>
      </c>
      <c r="E45" s="2">
        <v>6.4</v>
      </c>
      <c r="F45" s="3">
        <v>120</v>
      </c>
      <c r="G45" t="s">
        <v>33</v>
      </c>
      <c r="H45" t="s">
        <v>58</v>
      </c>
      <c r="I45" s="4">
        <v>2015</v>
      </c>
      <c r="J45" t="s">
        <v>157</v>
      </c>
      <c r="K45" s="5">
        <v>610</v>
      </c>
      <c r="L45" s="1">
        <v>32.1</v>
      </c>
      <c r="M45" s="6">
        <v>0.77</v>
      </c>
      <c r="N45" t="s">
        <v>121</v>
      </c>
      <c r="O45" s="7">
        <v>45733</v>
      </c>
      <c r="P45" s="8">
        <f t="shared" si="0"/>
        <v>0.16333333333333336</v>
      </c>
    </row>
    <row r="46" spans="1:16" ht="18" customHeight="1" x14ac:dyDescent="0.25">
      <c r="A46" t="s">
        <v>158</v>
      </c>
      <c r="B46" t="s">
        <v>80</v>
      </c>
      <c r="C46" t="s">
        <v>32</v>
      </c>
      <c r="D46" s="1">
        <v>21.2</v>
      </c>
      <c r="E46" s="2">
        <v>9.6</v>
      </c>
      <c r="F46" s="3">
        <v>240</v>
      </c>
      <c r="G46" t="s">
        <v>19</v>
      </c>
      <c r="H46" t="s">
        <v>58</v>
      </c>
      <c r="I46" s="4">
        <v>2013</v>
      </c>
      <c r="J46" t="s">
        <v>159</v>
      </c>
      <c r="K46" s="5">
        <v>720</v>
      </c>
      <c r="L46" s="1">
        <v>29.4</v>
      </c>
      <c r="M46" s="6">
        <v>1.32</v>
      </c>
      <c r="N46" t="s">
        <v>124</v>
      </c>
      <c r="O46" s="7">
        <v>45756</v>
      </c>
      <c r="P46" s="8">
        <f t="shared" si="0"/>
        <v>8.8333333333333333E-2</v>
      </c>
    </row>
    <row r="47" spans="1:16" ht="18" customHeight="1" x14ac:dyDescent="0.25">
      <c r="A47" t="s">
        <v>160</v>
      </c>
      <c r="B47" t="s">
        <v>31</v>
      </c>
      <c r="C47" t="s">
        <v>70</v>
      </c>
      <c r="D47" s="1">
        <v>38.5</v>
      </c>
      <c r="E47" s="2">
        <v>10.199999999999999</v>
      </c>
      <c r="F47" s="3">
        <v>99</v>
      </c>
      <c r="G47" t="s">
        <v>87</v>
      </c>
      <c r="H47" t="s">
        <v>25</v>
      </c>
      <c r="I47" s="4">
        <v>2011</v>
      </c>
      <c r="J47" t="s">
        <v>161</v>
      </c>
      <c r="K47" s="5">
        <v>3400</v>
      </c>
      <c r="L47" s="1">
        <v>11.3</v>
      </c>
      <c r="M47" s="6">
        <v>1.44</v>
      </c>
      <c r="N47" t="s">
        <v>119</v>
      </c>
      <c r="O47" s="7">
        <v>45816</v>
      </c>
      <c r="P47" s="8">
        <f t="shared" si="0"/>
        <v>0.3888888888888889</v>
      </c>
    </row>
    <row r="48" spans="1:16" ht="18" customHeight="1" x14ac:dyDescent="0.25">
      <c r="A48" t="s">
        <v>162</v>
      </c>
      <c r="B48" t="s">
        <v>77</v>
      </c>
      <c r="C48" t="s">
        <v>92</v>
      </c>
      <c r="D48" s="1">
        <v>17.8</v>
      </c>
      <c r="E48" s="2">
        <v>4.0999999999999996</v>
      </c>
      <c r="F48" s="3">
        <v>260</v>
      </c>
      <c r="G48" t="s">
        <v>24</v>
      </c>
      <c r="H48" t="s">
        <v>105</v>
      </c>
      <c r="I48" s="4">
        <v>2015</v>
      </c>
      <c r="J48" t="s">
        <v>163</v>
      </c>
      <c r="K48" s="5">
        <v>480</v>
      </c>
      <c r="L48" s="1">
        <v>37.1</v>
      </c>
      <c r="M48" s="6">
        <v>0.7</v>
      </c>
      <c r="N48" t="s">
        <v>123</v>
      </c>
      <c r="O48" s="7">
        <v>45699</v>
      </c>
      <c r="P48" s="8">
        <f t="shared" si="0"/>
        <v>6.8461538461538463E-2</v>
      </c>
    </row>
    <row r="49" spans="1:16" ht="18" customHeight="1" x14ac:dyDescent="0.25">
      <c r="A49" t="s">
        <v>164</v>
      </c>
      <c r="B49" t="s">
        <v>80</v>
      </c>
      <c r="C49" t="s">
        <v>165</v>
      </c>
      <c r="D49" s="1">
        <v>14.9</v>
      </c>
      <c r="E49" s="2">
        <v>8.3000000000000007</v>
      </c>
      <c r="F49" s="3">
        <v>45</v>
      </c>
      <c r="G49" t="s">
        <v>33</v>
      </c>
      <c r="H49" t="s">
        <v>105</v>
      </c>
      <c r="I49" s="4">
        <v>2016</v>
      </c>
      <c r="J49" t="s">
        <v>166</v>
      </c>
      <c r="K49" s="5">
        <v>290</v>
      </c>
      <c r="L49" s="1">
        <v>51.4</v>
      </c>
      <c r="M49" s="6">
        <v>1.22</v>
      </c>
      <c r="N49" t="s">
        <v>124</v>
      </c>
      <c r="O49" s="7">
        <v>45741</v>
      </c>
      <c r="P49" s="8">
        <f t="shared" si="0"/>
        <v>0.33111111111111113</v>
      </c>
    </row>
    <row r="50" spans="1:16" ht="18" customHeight="1" x14ac:dyDescent="0.25">
      <c r="A50" t="s">
        <v>167</v>
      </c>
      <c r="B50" t="s">
        <v>80</v>
      </c>
      <c r="C50" t="s">
        <v>70</v>
      </c>
      <c r="D50" s="1">
        <v>43.1</v>
      </c>
      <c r="E50" s="2">
        <v>11.9</v>
      </c>
      <c r="F50" s="3">
        <v>34</v>
      </c>
      <c r="G50" t="s">
        <v>71</v>
      </c>
      <c r="H50" t="s">
        <v>14</v>
      </c>
      <c r="I50" s="4">
        <v>2010</v>
      </c>
      <c r="J50" t="s">
        <v>168</v>
      </c>
      <c r="K50" s="5">
        <v>3900</v>
      </c>
      <c r="L50" s="1">
        <v>11.1</v>
      </c>
      <c r="M50" s="6">
        <v>1.79</v>
      </c>
      <c r="N50" t="s">
        <v>120</v>
      </c>
      <c r="O50" s="7">
        <v>45825</v>
      </c>
      <c r="P50" s="8">
        <f t="shared" si="0"/>
        <v>1.2676470588235293</v>
      </c>
    </row>
    <row r="51" spans="1:16" ht="18" customHeight="1" x14ac:dyDescent="0.25">
      <c r="A51" t="s">
        <v>169</v>
      </c>
      <c r="B51" t="s">
        <v>31</v>
      </c>
      <c r="C51" t="s">
        <v>23</v>
      </c>
      <c r="D51" s="1">
        <v>24.4</v>
      </c>
      <c r="E51" s="2">
        <v>6.6</v>
      </c>
      <c r="F51" s="3">
        <v>260</v>
      </c>
      <c r="G51" t="s">
        <v>19</v>
      </c>
      <c r="H51" t="s">
        <v>58</v>
      </c>
      <c r="I51" s="4">
        <v>2012</v>
      </c>
      <c r="J51" t="s">
        <v>170</v>
      </c>
      <c r="K51" s="5">
        <v>700</v>
      </c>
      <c r="L51" s="1">
        <v>34.9</v>
      </c>
      <c r="M51" s="6">
        <v>1.01</v>
      </c>
      <c r="N51" t="s">
        <v>119</v>
      </c>
      <c r="O51" s="7">
        <v>45781</v>
      </c>
      <c r="P51" s="8">
        <f t="shared" si="0"/>
        <v>9.3846153846153843E-2</v>
      </c>
    </row>
    <row r="52" spans="1:16" ht="18" customHeight="1" x14ac:dyDescent="0.25">
      <c r="A52" t="s">
        <v>171</v>
      </c>
      <c r="B52" t="s">
        <v>172</v>
      </c>
      <c r="C52" t="s">
        <v>18</v>
      </c>
      <c r="D52" s="1">
        <v>39.700000000000003</v>
      </c>
      <c r="E52" s="2">
        <v>7.7</v>
      </c>
      <c r="F52" s="3">
        <v>590</v>
      </c>
      <c r="G52" t="s">
        <v>33</v>
      </c>
      <c r="H52" t="s">
        <v>25</v>
      </c>
      <c r="I52" s="4">
        <v>2010</v>
      </c>
      <c r="J52" t="s">
        <v>173</v>
      </c>
      <c r="K52" s="5">
        <v>1290</v>
      </c>
      <c r="L52" s="1">
        <v>30.8</v>
      </c>
      <c r="M52" s="6">
        <v>1.08</v>
      </c>
      <c r="N52" t="s">
        <v>116</v>
      </c>
      <c r="O52" s="7">
        <v>45775</v>
      </c>
      <c r="P52" s="8">
        <f t="shared" si="0"/>
        <v>6.7288135593220347E-2</v>
      </c>
    </row>
    <row r="53" spans="1:16" ht="18" customHeight="1" x14ac:dyDescent="0.25">
      <c r="A53" t="s">
        <v>174</v>
      </c>
      <c r="B53" t="s">
        <v>80</v>
      </c>
      <c r="C53" t="s">
        <v>70</v>
      </c>
      <c r="D53" s="1">
        <v>30.8</v>
      </c>
      <c r="E53" s="2">
        <v>9.6999999999999993</v>
      </c>
      <c r="F53" s="3">
        <v>78</v>
      </c>
      <c r="G53" t="s">
        <v>87</v>
      </c>
      <c r="H53" t="s">
        <v>25</v>
      </c>
      <c r="I53" s="4">
        <v>2012</v>
      </c>
      <c r="J53" t="s">
        <v>175</v>
      </c>
      <c r="K53" s="5">
        <v>2600</v>
      </c>
      <c r="L53" s="1">
        <v>11.8</v>
      </c>
      <c r="M53" s="6">
        <v>1.36</v>
      </c>
      <c r="N53" t="s">
        <v>124</v>
      </c>
      <c r="O53" s="7">
        <v>45818</v>
      </c>
      <c r="P53" s="8">
        <f t="shared" si="0"/>
        <v>0.39487179487179486</v>
      </c>
    </row>
    <row r="54" spans="1:16" ht="18" customHeight="1" x14ac:dyDescent="0.25">
      <c r="A54" t="s">
        <v>176</v>
      </c>
      <c r="B54" t="s">
        <v>80</v>
      </c>
      <c r="C54" t="s">
        <v>37</v>
      </c>
      <c r="D54" s="1">
        <v>16.100000000000001</v>
      </c>
      <c r="E54" s="2">
        <v>4.7</v>
      </c>
      <c r="F54" s="3">
        <v>360</v>
      </c>
      <c r="G54" t="s">
        <v>38</v>
      </c>
      <c r="H54" t="s">
        <v>105</v>
      </c>
      <c r="I54" s="4">
        <v>2014</v>
      </c>
      <c r="J54" t="s">
        <v>177</v>
      </c>
      <c r="K54" s="5">
        <v>520</v>
      </c>
      <c r="L54" s="1">
        <v>31</v>
      </c>
      <c r="M54" s="6">
        <v>0.75</v>
      </c>
      <c r="N54" t="s">
        <v>124</v>
      </c>
      <c r="O54" s="7">
        <v>45722</v>
      </c>
      <c r="P54" s="8">
        <f t="shared" si="0"/>
        <v>4.4722222222222226E-2</v>
      </c>
    </row>
    <row r="55" spans="1:16" ht="18" customHeight="1" x14ac:dyDescent="0.25">
      <c r="A55" t="s">
        <v>178</v>
      </c>
      <c r="B55" t="s">
        <v>44</v>
      </c>
      <c r="C55" t="s">
        <v>23</v>
      </c>
      <c r="D55" s="1">
        <v>13.6</v>
      </c>
      <c r="E55" s="2">
        <v>6.9</v>
      </c>
      <c r="F55" s="3">
        <v>25</v>
      </c>
      <c r="G55" t="s">
        <v>33</v>
      </c>
      <c r="H55" t="s">
        <v>105</v>
      </c>
      <c r="I55" s="4">
        <v>2017</v>
      </c>
      <c r="J55" t="s">
        <v>179</v>
      </c>
      <c r="K55" s="5">
        <v>240</v>
      </c>
      <c r="L55" s="1">
        <v>56.7</v>
      </c>
      <c r="M55" s="6">
        <v>1.1299999999999999</v>
      </c>
      <c r="N55" t="s">
        <v>121</v>
      </c>
      <c r="O55" s="7">
        <v>45705</v>
      </c>
      <c r="P55" s="8">
        <f t="shared" si="0"/>
        <v>0.54400000000000004</v>
      </c>
    </row>
    <row r="56" spans="1:16" ht="18" customHeight="1" x14ac:dyDescent="0.25">
      <c r="A56" t="s">
        <v>180</v>
      </c>
      <c r="B56" t="s">
        <v>22</v>
      </c>
      <c r="C56" t="s">
        <v>32</v>
      </c>
      <c r="D56" s="1">
        <v>44.2</v>
      </c>
      <c r="E56" s="2">
        <v>7.9</v>
      </c>
      <c r="F56" s="3">
        <v>2300</v>
      </c>
      <c r="G56" t="s">
        <v>19</v>
      </c>
      <c r="H56" t="s">
        <v>14</v>
      </c>
      <c r="I56" s="4">
        <v>2007</v>
      </c>
      <c r="J56" t="s">
        <v>181</v>
      </c>
      <c r="K56" s="5">
        <v>2400</v>
      </c>
      <c r="L56" s="1">
        <v>18.399999999999999</v>
      </c>
      <c r="M56" s="6">
        <v>1.24</v>
      </c>
      <c r="N56" t="s">
        <v>117</v>
      </c>
      <c r="O56" s="7">
        <v>45811</v>
      </c>
      <c r="P56" s="8">
        <f t="shared" si="0"/>
        <v>1.9217391304347829E-2</v>
      </c>
    </row>
    <row r="57" spans="1:16" ht="18" customHeight="1" x14ac:dyDescent="0.25">
      <c r="A57" t="s">
        <v>182</v>
      </c>
      <c r="B57" t="s">
        <v>11</v>
      </c>
      <c r="C57" t="s">
        <v>23</v>
      </c>
      <c r="D57" s="1">
        <v>55.6</v>
      </c>
      <c r="E57" s="2">
        <v>8.5</v>
      </c>
      <c r="F57" s="3">
        <v>1500</v>
      </c>
      <c r="G57" t="s">
        <v>19</v>
      </c>
      <c r="H57" t="s">
        <v>14</v>
      </c>
      <c r="I57" s="4">
        <v>2008</v>
      </c>
      <c r="J57" t="s">
        <v>183</v>
      </c>
      <c r="K57" s="5">
        <v>2750</v>
      </c>
      <c r="L57" s="1">
        <v>20.2</v>
      </c>
      <c r="M57" s="6">
        <v>1.2</v>
      </c>
      <c r="N57" t="s">
        <v>115</v>
      </c>
      <c r="O57" s="7">
        <v>45800</v>
      </c>
      <c r="P57" s="8">
        <f t="shared" si="0"/>
        <v>3.7066666666666664E-2</v>
      </c>
    </row>
    <row r="58" spans="1:16" ht="18" customHeight="1" x14ac:dyDescent="0.25">
      <c r="A58" t="s">
        <v>184</v>
      </c>
      <c r="B58" t="s">
        <v>185</v>
      </c>
      <c r="C58" t="s">
        <v>92</v>
      </c>
      <c r="D58" s="1">
        <v>12.4</v>
      </c>
      <c r="E58" s="2">
        <v>5</v>
      </c>
      <c r="F58" s="3">
        <v>55</v>
      </c>
      <c r="G58" t="s">
        <v>24</v>
      </c>
      <c r="H58" t="s">
        <v>105</v>
      </c>
      <c r="I58" s="4">
        <v>2016</v>
      </c>
      <c r="J58" t="s">
        <v>186</v>
      </c>
      <c r="K58" s="5">
        <v>300</v>
      </c>
      <c r="L58" s="1">
        <v>41.3</v>
      </c>
      <c r="M58" s="6">
        <v>0.82</v>
      </c>
      <c r="N58" t="s">
        <v>120</v>
      </c>
      <c r="O58" s="7">
        <v>45729</v>
      </c>
      <c r="P58" s="8">
        <f t="shared" si="0"/>
        <v>0.22545454545454546</v>
      </c>
    </row>
    <row r="59" spans="1:16" ht="18" customHeight="1" x14ac:dyDescent="0.25">
      <c r="A59" t="s">
        <v>187</v>
      </c>
      <c r="B59" t="s">
        <v>31</v>
      </c>
      <c r="C59" t="s">
        <v>70</v>
      </c>
      <c r="D59" s="1">
        <v>41.7</v>
      </c>
      <c r="E59" s="2">
        <v>12.4</v>
      </c>
      <c r="F59" s="3">
        <v>36</v>
      </c>
      <c r="G59" t="s">
        <v>74</v>
      </c>
      <c r="H59" t="s">
        <v>14</v>
      </c>
      <c r="I59" s="4">
        <v>2012</v>
      </c>
      <c r="J59" t="s">
        <v>188</v>
      </c>
      <c r="K59" s="5">
        <v>3700</v>
      </c>
      <c r="L59" s="1">
        <v>11.3</v>
      </c>
      <c r="M59" s="6">
        <v>1.71</v>
      </c>
      <c r="N59" t="s">
        <v>119</v>
      </c>
      <c r="O59" s="7">
        <v>45827</v>
      </c>
      <c r="P59" s="8">
        <f t="shared" si="0"/>
        <v>1.1583333333333334</v>
      </c>
    </row>
    <row r="60" spans="1:16" ht="18" customHeight="1" x14ac:dyDescent="0.25">
      <c r="A60" t="s">
        <v>189</v>
      </c>
      <c r="B60" t="s">
        <v>190</v>
      </c>
      <c r="C60" t="s">
        <v>32</v>
      </c>
      <c r="D60" s="1">
        <v>11.8</v>
      </c>
      <c r="E60" s="2">
        <v>7.2</v>
      </c>
      <c r="F60" s="3">
        <v>160</v>
      </c>
      <c r="G60" t="s">
        <v>19</v>
      </c>
      <c r="H60" t="s">
        <v>105</v>
      </c>
      <c r="I60" s="4">
        <v>2015</v>
      </c>
      <c r="J60" t="s">
        <v>191</v>
      </c>
      <c r="K60" s="5">
        <v>410</v>
      </c>
      <c r="L60" s="1">
        <v>28.8</v>
      </c>
      <c r="M60" s="6">
        <v>0.95</v>
      </c>
      <c r="N60" t="s">
        <v>123</v>
      </c>
      <c r="O60" s="7">
        <v>45751</v>
      </c>
      <c r="P60" s="8">
        <f t="shared" si="0"/>
        <v>7.375000000000001E-2</v>
      </c>
    </row>
    <row r="61" spans="1:16" ht="18" customHeight="1" x14ac:dyDescent="0.25">
      <c r="A61" t="s">
        <v>192</v>
      </c>
      <c r="B61" t="s">
        <v>193</v>
      </c>
      <c r="C61" t="s">
        <v>18</v>
      </c>
      <c r="D61" s="1">
        <v>18.899999999999999</v>
      </c>
      <c r="E61" s="2">
        <v>9.3000000000000007</v>
      </c>
      <c r="F61" s="3">
        <v>45</v>
      </c>
      <c r="G61" t="s">
        <v>33</v>
      </c>
      <c r="H61" t="s">
        <v>58</v>
      </c>
      <c r="I61" s="4">
        <v>2014</v>
      </c>
      <c r="J61" t="s">
        <v>194</v>
      </c>
      <c r="K61" s="5">
        <v>560</v>
      </c>
      <c r="L61" s="1">
        <v>33.799999999999997</v>
      </c>
      <c r="M61" s="6">
        <v>1.28</v>
      </c>
      <c r="N61" t="s">
        <v>123</v>
      </c>
      <c r="O61" s="7">
        <v>45745</v>
      </c>
      <c r="P61" s="8">
        <f t="shared" si="0"/>
        <v>0.42</v>
      </c>
    </row>
  </sheetData>
  <conditionalFormatting sqref="E2:E6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2:M6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:D61">
    <cfRule type="dataBar" priority="3">
      <dataBar>
        <cfvo type="min"/>
        <cfvo type="max"/>
        <color rgb="FF8FBFDA"/>
      </dataBar>
      <extLst>
        <ext xmlns:x14="http://schemas.microsoft.com/office/spreadsheetml/2009/9/main" uri="{B025F937-C7B1-47D3-B67F-A62EFF666E3E}">
          <x14:id>{368E77C6-E36A-4268-BCF3-EAE04AF4B986}</x14:id>
        </ext>
      </extLst>
    </cfRule>
  </conditionalFormatting>
  <pageMargins left="0.7" right="0.7" top="0.75" bottom="0.75" header="0.3" footer="0.3"/>
  <tableParts count="1">
    <tablePart r:id="rId1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68E77C6-E36A-4268-BCF3-EAE04AF4B986}">
            <x14:dataBar minLength="0" maxLength="100" direction="leftToRight" negativeBarColorSameAsPositive="1" axisPosition="none">
              <x14:cfvo type="min"/>
              <x14:cfvo type="max"/>
            </x14:dataBar>
          </x14:cfRule>
          <xm:sqref>D2:D61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F8896-01EA-416B-9FFE-77C161D6AE3B}">
  <sheetPr>
    <tabColor rgb="FF4A90B8"/>
  </sheetPr>
  <dimension ref="A1:W64"/>
  <sheetViews>
    <sheetView showGridLines="0" tabSelected="1" workbookViewId="0">
      <selection activeCell="D37" sqref="D37"/>
    </sheetView>
  </sheetViews>
  <sheetFormatPr defaultRowHeight="15" x14ac:dyDescent="0.25"/>
  <cols>
    <col min="1" max="1" width="28.5703125" customWidth="1"/>
    <col min="2" max="2" width="18.7109375" customWidth="1"/>
    <col min="3" max="5" width="17.5703125" customWidth="1"/>
    <col min="6" max="6" width="4.5703125" customWidth="1"/>
    <col min="7" max="7" width="31.42578125" customWidth="1"/>
    <col min="8" max="8" width="22.85546875" customWidth="1"/>
    <col min="9" max="11" width="17.5703125" customWidth="1"/>
  </cols>
  <sheetData>
    <row r="1" spans="1:23" ht="21" x14ac:dyDescent="0.35">
      <c r="A1" s="10" t="s">
        <v>196</v>
      </c>
    </row>
    <row r="2" spans="1:23" x14ac:dyDescent="0.25">
      <c r="A2" s="11" t="s">
        <v>197</v>
      </c>
      <c r="M2" s="30" t="s">
        <v>221</v>
      </c>
    </row>
    <row r="4" spans="1:23" x14ac:dyDescent="0.25">
      <c r="A4" s="19" t="s">
        <v>198</v>
      </c>
      <c r="B4" s="19"/>
      <c r="C4" s="19"/>
      <c r="D4" s="19"/>
      <c r="E4" s="19"/>
      <c r="G4" s="19" t="s">
        <v>204</v>
      </c>
      <c r="H4" s="19"/>
      <c r="I4" s="19"/>
      <c r="J4" s="19"/>
      <c r="K4" s="19"/>
      <c r="M4" s="20" t="s">
        <v>208</v>
      </c>
      <c r="N4" s="20" t="s">
        <v>209</v>
      </c>
      <c r="P4" s="20" t="s">
        <v>5</v>
      </c>
      <c r="Q4" s="20" t="s">
        <v>4</v>
      </c>
      <c r="R4" s="20" t="s">
        <v>199</v>
      </c>
      <c r="T4" s="20" t="s">
        <v>210</v>
      </c>
      <c r="U4" s="20" t="s">
        <v>209</v>
      </c>
      <c r="W4" s="20" t="s">
        <v>217</v>
      </c>
    </row>
    <row r="5" spans="1:23" x14ac:dyDescent="0.25">
      <c r="A5" s="12" t="s">
        <v>1</v>
      </c>
      <c r="B5" s="13" t="s">
        <v>199</v>
      </c>
      <c r="C5" s="13" t="s">
        <v>200</v>
      </c>
      <c r="D5" s="13" t="s">
        <v>201</v>
      </c>
      <c r="E5" s="13" t="s">
        <v>202</v>
      </c>
      <c r="G5" s="13" t="s">
        <v>2</v>
      </c>
      <c r="H5" s="13" t="s">
        <v>199</v>
      </c>
      <c r="I5" s="13" t="s">
        <v>200</v>
      </c>
      <c r="J5" s="13" t="s">
        <v>201</v>
      </c>
      <c r="K5" s="13" t="s">
        <v>202</v>
      </c>
      <c r="M5" t="str" cm="1">
        <f t="array" ref="M5:M28">_xlfn.SORTBY(A6:A29,B6:B29,-1)</f>
        <v>US East</v>
      </c>
      <c r="N5" cm="1">
        <f t="array" ref="N5:N28">_xlfn.SORTBY(B6:B29,B6:B29,-1)</f>
        <v>595.80000000000007</v>
      </c>
      <c r="P5" s="3" cm="1">
        <f t="array" ref="P5:P64">ClientData[AUM (USD bn)]</f>
        <v>680</v>
      </c>
      <c r="Q5" s="2" cm="1">
        <f t="array" ref="Q5:Q64">ClientData[YTD Return %]</f>
        <v>7.8</v>
      </c>
      <c r="R5" s="1" cm="1">
        <f t="array" ref="R5:R64">ClientData[Revenue Contribution (USD mm)]</f>
        <v>42.6</v>
      </c>
      <c r="T5" t="str" cm="1">
        <f t="array" ref="T5:T14">_xlfn.TAKE(_xlfn.SORTBY(ClientData[Client Name],ClientData[Revenue Contribution (USD mm)],-1),10)</f>
        <v>BlackRock</v>
      </c>
      <c r="U5" cm="1">
        <f t="array" ref="U5:U14">_xlfn.TAKE(_xlfn.SORTBY(ClientData[Revenue Contribution (USD mm)],ClientData[Revenue Contribution (USD mm)],-1),10)</f>
        <v>74.3</v>
      </c>
      <c r="W5">
        <f>AVERAGEIFS(ClientData[Sharpe Ratio],ClientData[Client Type],"Hedge Fund")</f>
        <v>1.7577777777777779</v>
      </c>
    </row>
    <row r="6" spans="1:23" x14ac:dyDescent="0.25">
      <c r="A6" t="s">
        <v>11</v>
      </c>
      <c r="B6" s="1">
        <f>SUMIFS(ClientData[Revenue Contribution (USD mm)],ClientData[Region],$A6)</f>
        <v>121.69999999999999</v>
      </c>
      <c r="C6" s="15">
        <f>B6/$B$30</f>
        <v>6.2741661081610542E-2</v>
      </c>
      <c r="D6" s="2">
        <f>AVERAGEIFS(ClientData[YTD Return %],ClientData[Region],$A6)</f>
        <v>6.7</v>
      </c>
      <c r="E6" s="4">
        <f>COUNTIFS(ClientData[Region],$A6)</f>
        <v>3</v>
      </c>
      <c r="G6" t="s">
        <v>18</v>
      </c>
      <c r="H6" s="1">
        <f>SUMIFS(ClientData[Revenue Contribution (USD mm)],ClientData[Client Type],$G6)</f>
        <v>479.89999999999986</v>
      </c>
      <c r="I6" s="15">
        <f>H6/$B$30</f>
        <v>0.24740939320513472</v>
      </c>
      <c r="J6" s="2">
        <f>AVERAGEIFS(ClientData[YTD Return %],ClientData[Client Type],$G6)</f>
        <v>9.1538461538461533</v>
      </c>
      <c r="K6" s="4">
        <f>COUNTIFS(ClientData[Client Type],$G6)</f>
        <v>13</v>
      </c>
      <c r="M6" t="str">
        <v>UK</v>
      </c>
      <c r="N6">
        <v>174.00000000000003</v>
      </c>
      <c r="P6">
        <v>770</v>
      </c>
      <c r="Q6">
        <v>9.1999999999999993</v>
      </c>
      <c r="R6">
        <v>58.1</v>
      </c>
      <c r="T6" t="str">
        <v>Norges Bank Investment Mgmt</v>
      </c>
      <c r="U6">
        <v>61.9</v>
      </c>
      <c r="W6" s="20" t="s">
        <v>218</v>
      </c>
    </row>
    <row r="7" spans="1:23" x14ac:dyDescent="0.25">
      <c r="A7" t="s">
        <v>17</v>
      </c>
      <c r="B7" s="1">
        <f>SUMIFS(ClientData[Revenue Contribution (USD mm)],ClientData[Region],$A7)</f>
        <v>91.300000000000011</v>
      </c>
      <c r="C7" s="15">
        <f t="shared" ref="C7:C30" si="0">B7/$B$30</f>
        <v>4.7069134402227146E-2</v>
      </c>
      <c r="D7" s="2">
        <f>AVERAGEIFS(ClientData[YTD Return %],ClientData[Region],$A7)</f>
        <v>10.45</v>
      </c>
      <c r="E7" s="4">
        <f>COUNTIFS(ClientData[Region],$A7)</f>
        <v>2</v>
      </c>
      <c r="G7" t="s">
        <v>32</v>
      </c>
      <c r="H7" s="1">
        <f>SUMIFS(ClientData[Revenue Contribution (USD mm)],ClientData[Client Type],$G7)</f>
        <v>495.09999999999997</v>
      </c>
      <c r="I7" s="15">
        <f t="shared" ref="I7:I16" si="1">H7/$B$30</f>
        <v>0.25524565654482645</v>
      </c>
      <c r="J7" s="2">
        <f>AVERAGEIFS(ClientData[YTD Return %],ClientData[Client Type],$G7)</f>
        <v>6.8733333333333331</v>
      </c>
      <c r="K7" s="4">
        <f>COUNTIFS(ClientData[Client Type],$G7)</f>
        <v>15</v>
      </c>
      <c r="M7" t="str">
        <v>US West</v>
      </c>
      <c r="N7">
        <v>154.5</v>
      </c>
      <c r="P7">
        <v>495</v>
      </c>
      <c r="Q7">
        <v>6.5</v>
      </c>
      <c r="R7">
        <v>36.4</v>
      </c>
      <c r="T7" t="str">
        <v>GIC Private Limited</v>
      </c>
      <c r="U7">
        <v>58.1</v>
      </c>
      <c r="W7" s="1">
        <f>SUM(U5:U14)/B30</f>
        <v>0.28226014332113208</v>
      </c>
    </row>
    <row r="8" spans="1:23" x14ac:dyDescent="0.25">
      <c r="A8" t="s">
        <v>22</v>
      </c>
      <c r="B8" s="1">
        <f>SUMIFS(ClientData[Revenue Contribution (USD mm)],ClientData[Region],$A8)</f>
        <v>154.5</v>
      </c>
      <c r="C8" s="15">
        <f t="shared" si="0"/>
        <v>7.9651492498840015E-2</v>
      </c>
      <c r="D8" s="2">
        <f>AVERAGEIFS(ClientData[YTD Return %],ClientData[Region],$A8)</f>
        <v>6.2249999999999996</v>
      </c>
      <c r="E8" s="4">
        <f>COUNTIFS(ClientData[Region],$A8)</f>
        <v>4</v>
      </c>
      <c r="G8" t="s">
        <v>23</v>
      </c>
      <c r="H8" s="1">
        <f>SUMIFS(ClientData[Revenue Contribution (USD mm)],ClientData[Client Type],$G8)</f>
        <v>244.5</v>
      </c>
      <c r="I8" s="15">
        <f t="shared" si="1"/>
        <v>0.1260504201680672</v>
      </c>
      <c r="J8" s="2">
        <f>AVERAGEIFS(ClientData[YTD Return %],ClientData[Client Type],$G8)</f>
        <v>6.8</v>
      </c>
      <c r="K8" s="4">
        <f>COUNTIFS(ClientData[Client Type],$G8)</f>
        <v>9</v>
      </c>
      <c r="M8" t="str">
        <v>Japan</v>
      </c>
      <c r="N8">
        <v>121.69999999999999</v>
      </c>
      <c r="P8">
        <v>1600</v>
      </c>
      <c r="Q8">
        <v>10.4</v>
      </c>
      <c r="R8">
        <v>61.9</v>
      </c>
      <c r="T8" t="str">
        <v>Government Pension Investment Fund</v>
      </c>
      <c r="U8">
        <v>55.6</v>
      </c>
      <c r="W8" s="20" t="s">
        <v>219</v>
      </c>
    </row>
    <row r="9" spans="1:23" x14ac:dyDescent="0.25">
      <c r="A9" t="s">
        <v>28</v>
      </c>
      <c r="B9" s="1">
        <f>SUMIFS(ClientData[Revenue Contribution (USD mm)],ClientData[Region],$A9)</f>
        <v>61.9</v>
      </c>
      <c r="C9" s="15">
        <f t="shared" si="0"/>
        <v>3.1912151363612924E-2</v>
      </c>
      <c r="D9" s="2">
        <f>AVERAGEIFS(ClientData[YTD Return %],ClientData[Region],$A9)</f>
        <v>10.4</v>
      </c>
      <c r="E9" s="4">
        <f>COUNTIFS(ClientData[Region],$A9)</f>
        <v>1</v>
      </c>
      <c r="G9" t="s">
        <v>70</v>
      </c>
      <c r="H9" s="1">
        <f>SUMIFS(ClientData[Revenue Contribution (USD mm)],ClientData[Client Type],$G9)</f>
        <v>399.70000000000005</v>
      </c>
      <c r="I9" s="15">
        <f t="shared" si="1"/>
        <v>0.20606279321544568</v>
      </c>
      <c r="J9" s="2">
        <f>AVERAGEIFS(ClientData[YTD Return %],ClientData[Client Type],$G9)</f>
        <v>12.000000000000002</v>
      </c>
      <c r="K9" s="4">
        <f>COUNTIFS(ClientData[Client Type],$G9)</f>
        <v>9</v>
      </c>
      <c r="M9" t="str">
        <v>Canada</v>
      </c>
      <c r="N9">
        <v>101.79999999999998</v>
      </c>
      <c r="P9">
        <v>2100</v>
      </c>
      <c r="Q9">
        <v>8.1</v>
      </c>
      <c r="R9">
        <v>74.3</v>
      </c>
      <c r="T9" t="str">
        <v>Bridgewater Associates</v>
      </c>
      <c r="U9">
        <v>53.2</v>
      </c>
      <c r="W9" s="4">
        <f>K22+K23</f>
        <v>24</v>
      </c>
    </row>
    <row r="10" spans="1:23" x14ac:dyDescent="0.25">
      <c r="A10" t="s">
        <v>31</v>
      </c>
      <c r="B10" s="1">
        <f>SUMIFS(ClientData[Revenue Contribution (USD mm)],ClientData[Region],$A10)</f>
        <v>595.80000000000007</v>
      </c>
      <c r="C10" s="15">
        <f t="shared" si="0"/>
        <v>0.30716090117028405</v>
      </c>
      <c r="D10" s="2">
        <f>AVERAGEIFS(ClientData[YTD Return %],ClientData[Region],$A10)</f>
        <v>9.0666666666666647</v>
      </c>
      <c r="E10" s="4">
        <f>COUNTIFS(ClientData[Region],$A10)</f>
        <v>15</v>
      </c>
      <c r="G10" t="s">
        <v>92</v>
      </c>
      <c r="H10" s="1">
        <f>SUMIFS(ClientData[Revenue Contribution (USD mm)],ClientData[Client Type],$G10)</f>
        <v>74.300000000000011</v>
      </c>
      <c r="I10" s="15">
        <f t="shared" si="1"/>
        <v>3.8304892509150902E-2</v>
      </c>
      <c r="J10" s="2">
        <f>AVERAGEIFS(ClientData[YTD Return %],ClientData[Client Type],$G10)</f>
        <v>4.3499999999999996</v>
      </c>
      <c r="K10" s="4">
        <f>COUNTIFS(ClientData[Client Type],$G10)</f>
        <v>4</v>
      </c>
      <c r="M10" t="str">
        <v>Singapore</v>
      </c>
      <c r="N10">
        <v>91.300000000000011</v>
      </c>
      <c r="P10">
        <v>620</v>
      </c>
      <c r="Q10">
        <v>5.9</v>
      </c>
      <c r="R10">
        <v>29.7</v>
      </c>
      <c r="T10" t="str">
        <v>Citadel</v>
      </c>
      <c r="U10">
        <v>51.8</v>
      </c>
    </row>
    <row r="11" spans="1:23" x14ac:dyDescent="0.25">
      <c r="A11" t="s">
        <v>36</v>
      </c>
      <c r="B11" s="1">
        <f>SUMIFS(ClientData[Revenue Contribution (USD mm)],ClientData[Region],$A11)</f>
        <v>29.7</v>
      </c>
      <c r="C11" s="15">
        <f t="shared" si="0"/>
        <v>1.5311646130844974E-2</v>
      </c>
      <c r="D11" s="2">
        <f>AVERAGEIFS(ClientData[YTD Return %],ClientData[Region],$A11)</f>
        <v>5.9</v>
      </c>
      <c r="E11" s="4">
        <f>COUNTIFS(ClientData[Region],$A11)</f>
        <v>1</v>
      </c>
      <c r="G11" t="s">
        <v>37</v>
      </c>
      <c r="H11" s="1">
        <f>SUMIFS(ClientData[Revenue Contribution (USD mm)],ClientData[Client Type],$G11)</f>
        <v>106.29999999999998</v>
      </c>
      <c r="I11" s="15">
        <f t="shared" si="1"/>
        <v>5.4802289013765E-2</v>
      </c>
      <c r="J11" s="2">
        <f>AVERAGEIFS(ClientData[YTD Return %],ClientData[Client Type],$G11)</f>
        <v>5.6000000000000005</v>
      </c>
      <c r="K11" s="4">
        <f>COUNTIFS(ClientData[Client Type],$G11)</f>
        <v>4</v>
      </c>
      <c r="M11" t="str">
        <v>UAE</v>
      </c>
      <c r="N11">
        <v>77</v>
      </c>
      <c r="P11">
        <v>290</v>
      </c>
      <c r="Q11">
        <v>11.7</v>
      </c>
      <c r="R11">
        <v>33.200000000000003</v>
      </c>
      <c r="T11" t="str">
        <v>Millennium Management</v>
      </c>
      <c r="U11">
        <v>49.6</v>
      </c>
    </row>
    <row r="12" spans="1:23" x14ac:dyDescent="0.25">
      <c r="A12" t="s">
        <v>44</v>
      </c>
      <c r="B12" s="1">
        <f>SUMIFS(ClientData[Revenue Contribution (USD mm)],ClientData[Region],$A12)</f>
        <v>101.79999999999998</v>
      </c>
      <c r="C12" s="15">
        <f t="shared" si="0"/>
        <v>5.2482342630303637E-2</v>
      </c>
      <c r="D12" s="2">
        <f>AVERAGEIFS(ClientData[YTD Return %],ClientData[Region],$A12)</f>
        <v>6.7199999999999989</v>
      </c>
      <c r="E12" s="4">
        <f>COUNTIFS(ClientData[Region],$A12)</f>
        <v>5</v>
      </c>
      <c r="G12" t="s">
        <v>67</v>
      </c>
      <c r="H12" s="1">
        <f>SUMIFS(ClientData[Revenue Contribution (USD mm)],ClientData[Client Type],$G12)</f>
        <v>43.099999999999994</v>
      </c>
      <c r="I12" s="15">
        <f t="shared" si="1"/>
        <v>2.2219930917152131E-2</v>
      </c>
      <c r="J12" s="2">
        <f>AVERAGEIFS(ClientData[YTD Return %],ClientData[Client Type],$G12)</f>
        <v>5.5</v>
      </c>
      <c r="K12" s="4">
        <f>COUNTIFS(ClientData[Client Type],$G12)</f>
        <v>2</v>
      </c>
      <c r="M12" t="str">
        <v>China</v>
      </c>
      <c r="N12">
        <v>73.400000000000006</v>
      </c>
      <c r="P12">
        <v>190</v>
      </c>
      <c r="Q12">
        <v>6.8</v>
      </c>
      <c r="R12">
        <v>27.5</v>
      </c>
      <c r="T12" t="str">
        <v>PIMCO</v>
      </c>
      <c r="U12">
        <v>48.8</v>
      </c>
    </row>
    <row r="13" spans="1:23" x14ac:dyDescent="0.25">
      <c r="A13" t="s">
        <v>50</v>
      </c>
      <c r="B13" s="1">
        <f>SUMIFS(ClientData[Revenue Contribution (USD mm)],ClientData[Region],$A13)</f>
        <v>77</v>
      </c>
      <c r="C13" s="15">
        <f t="shared" si="0"/>
        <v>3.9696860339227709E-2</v>
      </c>
      <c r="D13" s="2">
        <f>AVERAGEIFS(ClientData[YTD Return %],ClientData[Region],$A13)</f>
        <v>9.65</v>
      </c>
      <c r="E13" s="4">
        <f>COUNTIFS(ClientData[Region],$A13)</f>
        <v>2</v>
      </c>
      <c r="G13" t="s">
        <v>12</v>
      </c>
      <c r="H13" s="1">
        <f>SUMIFS(ClientData[Revenue Contribution (USD mm)],ClientData[Client Type],$G13)</f>
        <v>42.6</v>
      </c>
      <c r="I13" s="15">
        <f t="shared" si="1"/>
        <v>2.196215909676754E-2</v>
      </c>
      <c r="J13" s="2">
        <f>AVERAGEIFS(ClientData[YTD Return %],ClientData[Client Type],$G13)</f>
        <v>7.8</v>
      </c>
      <c r="K13" s="4">
        <f>COUNTIFS(ClientData[Client Type],$G13)</f>
        <v>1</v>
      </c>
      <c r="M13" t="str">
        <v>Norway</v>
      </c>
      <c r="N13">
        <v>61.9</v>
      </c>
      <c r="P13">
        <v>1750</v>
      </c>
      <c r="Q13">
        <v>4.2</v>
      </c>
      <c r="R13">
        <v>48.8</v>
      </c>
      <c r="T13" t="str">
        <v>Saudi Public Investment Fund</v>
      </c>
      <c r="U13">
        <v>47.9</v>
      </c>
    </row>
    <row r="14" spans="1:23" x14ac:dyDescent="0.25">
      <c r="A14" t="s">
        <v>56</v>
      </c>
      <c r="B14" s="1">
        <f>SUMIFS(ClientData[Revenue Contribution (USD mm)],ClientData[Region],$A14)</f>
        <v>60.7</v>
      </c>
      <c r="C14" s="15">
        <f t="shared" si="0"/>
        <v>3.1293498994689896E-2</v>
      </c>
      <c r="D14" s="2">
        <f>AVERAGEIFS(ClientData[YTD Return %],ClientData[Region],$A14)</f>
        <v>8.4</v>
      </c>
      <c r="E14" s="4">
        <f>COUNTIFS(ClientData[Region],$A14)</f>
        <v>3</v>
      </c>
      <c r="G14" t="s">
        <v>57</v>
      </c>
      <c r="H14" s="1">
        <f>SUMIFS(ClientData[Revenue Contribution (USD mm)],ClientData[Client Type],$G14)</f>
        <v>39.299999999999997</v>
      </c>
      <c r="I14" s="15">
        <f t="shared" si="1"/>
        <v>2.0260865082229206E-2</v>
      </c>
      <c r="J14" s="2">
        <f>AVERAGEIFS(ClientData[YTD Return %],ClientData[Client Type],$G14)</f>
        <v>8.1999999999999993</v>
      </c>
      <c r="K14" s="4">
        <f>COUNTIFS(ClientData[Client Type],$G14)</f>
        <v>2</v>
      </c>
      <c r="M14" t="str">
        <v>Australia</v>
      </c>
      <c r="N14">
        <v>60.7</v>
      </c>
      <c r="P14">
        <v>850</v>
      </c>
      <c r="Q14">
        <v>9.9</v>
      </c>
      <c r="R14">
        <v>45.1</v>
      </c>
      <c r="T14" t="str">
        <v>Elliott Management</v>
      </c>
      <c r="U14">
        <v>46.3</v>
      </c>
    </row>
    <row r="15" spans="1:23" x14ac:dyDescent="0.25">
      <c r="A15" t="s">
        <v>61</v>
      </c>
      <c r="B15" s="1">
        <f>SUMIFS(ClientData[Revenue Contribution (USD mm)],ClientData[Region],$A15)</f>
        <v>73.400000000000006</v>
      </c>
      <c r="C15" s="15">
        <f t="shared" si="0"/>
        <v>3.7840903232458624E-2</v>
      </c>
      <c r="D15" s="2">
        <f>AVERAGEIFS(ClientData[YTD Return %],ClientData[Region],$A15)</f>
        <v>6.5500000000000007</v>
      </c>
      <c r="E15" s="4">
        <f>COUNTIFS(ClientData[Region],$A15)</f>
        <v>2</v>
      </c>
      <c r="G15" t="s">
        <v>165</v>
      </c>
      <c r="H15" s="1">
        <f>SUMIFS(ClientData[Revenue Contribution (USD mm)],ClientData[Client Type],$G15)</f>
        <v>14.9</v>
      </c>
      <c r="I15" s="15">
        <f t="shared" si="1"/>
        <v>7.6816002474609469E-3</v>
      </c>
      <c r="J15" s="2">
        <f>AVERAGEIFS(ClientData[YTD Return %],ClientData[Client Type],$G15)</f>
        <v>8.3000000000000007</v>
      </c>
      <c r="K15" s="4">
        <f>COUNTIFS(ClientData[Client Type],$G15)</f>
        <v>1</v>
      </c>
      <c r="M15" t="str">
        <v>US Central</v>
      </c>
      <c r="N15">
        <v>51.8</v>
      </c>
      <c r="P15">
        <v>1900</v>
      </c>
      <c r="Q15">
        <v>7.1</v>
      </c>
      <c r="R15">
        <v>39.4</v>
      </c>
    </row>
    <row r="16" spans="1:23" x14ac:dyDescent="0.25">
      <c r="A16" t="s">
        <v>66</v>
      </c>
      <c r="B16" s="1">
        <f>SUMIFS(ClientData[Revenue Contribution (USD mm)],ClientData[Region],$A16)</f>
        <v>43.099999999999994</v>
      </c>
      <c r="C16" s="15">
        <f t="shared" si="0"/>
        <v>2.2219930917152131E-2</v>
      </c>
      <c r="D16" s="2">
        <f>AVERAGEIFS(ClientData[YTD Return %],ClientData[Region],$A16)</f>
        <v>5.5</v>
      </c>
      <c r="E16" s="4">
        <f>COUNTIFS(ClientData[Region],$A16)</f>
        <v>2</v>
      </c>
      <c r="G16" s="12" t="s">
        <v>203</v>
      </c>
      <c r="H16" s="14">
        <f>SUM(H6:H15)</f>
        <v>1939.6999999999996</v>
      </c>
      <c r="I16" s="16">
        <f>H16/$B$30</f>
        <v>0.99999999999999967</v>
      </c>
      <c r="J16" s="17">
        <f>AVERAGE(ClientData[YTD Return %])</f>
        <v>7.9099999999999984</v>
      </c>
      <c r="K16" s="18">
        <f>SUM(K6:K15)</f>
        <v>60</v>
      </c>
      <c r="M16" t="str">
        <v>Saudi Arabia</v>
      </c>
      <c r="N16">
        <v>47.9</v>
      </c>
      <c r="P16">
        <v>210</v>
      </c>
      <c r="Q16">
        <v>8.4</v>
      </c>
      <c r="R16">
        <v>22.6</v>
      </c>
    </row>
    <row r="17" spans="1:18" x14ac:dyDescent="0.25">
      <c r="A17" t="s">
        <v>77</v>
      </c>
      <c r="B17" s="1">
        <f>SUMIFS(ClientData[Revenue Contribution (USD mm)],ClientData[Region],$A17)</f>
        <v>44.1</v>
      </c>
      <c r="C17" s="15">
        <f t="shared" si="0"/>
        <v>2.2735474557921326E-2</v>
      </c>
      <c r="D17" s="2">
        <f>AVERAGEIFS(ClientData[YTD Return %],ClientData[Region],$A17)</f>
        <v>5.05</v>
      </c>
      <c r="E17" s="4">
        <f>COUNTIFS(ClientData[Region],$A17)</f>
        <v>2</v>
      </c>
      <c r="M17" t="str">
        <v>South Korea</v>
      </c>
      <c r="N17">
        <v>44.1</v>
      </c>
      <c r="P17">
        <v>1350</v>
      </c>
      <c r="Q17">
        <v>6.2</v>
      </c>
      <c r="R17">
        <v>41</v>
      </c>
    </row>
    <row r="18" spans="1:18" x14ac:dyDescent="0.25">
      <c r="A18" t="s">
        <v>80</v>
      </c>
      <c r="B18" s="1">
        <f>SUMIFS(ClientData[Revenue Contribution (USD mm)],ClientData[Region],$A18)</f>
        <v>174.00000000000003</v>
      </c>
      <c r="C18" s="15">
        <f t="shared" si="0"/>
        <v>8.970459349383926E-2</v>
      </c>
      <c r="D18" s="2">
        <f>AVERAGEIFS(ClientData[YTD Return %],ClientData[Region],$A18)</f>
        <v>7.7428571428571429</v>
      </c>
      <c r="E18" s="4">
        <f>COUNTIFS(ClientData[Region],$A18)</f>
        <v>7</v>
      </c>
      <c r="G18" s="19" t="s">
        <v>205</v>
      </c>
      <c r="H18" s="19"/>
      <c r="I18" s="19"/>
      <c r="J18" s="19"/>
      <c r="K18" s="19"/>
      <c r="M18" t="str">
        <v>Netherlands</v>
      </c>
      <c r="N18">
        <v>43.099999999999994</v>
      </c>
      <c r="P18">
        <v>1300</v>
      </c>
      <c r="Q18">
        <v>7.6</v>
      </c>
      <c r="R18">
        <v>37.799999999999997</v>
      </c>
    </row>
    <row r="19" spans="1:18" x14ac:dyDescent="0.25">
      <c r="A19" t="s">
        <v>99</v>
      </c>
      <c r="B19" s="1">
        <f>SUMIFS(ClientData[Revenue Contribution (USD mm)],ClientData[Region],$A19)</f>
        <v>30.5</v>
      </c>
      <c r="C19" s="15">
        <f t="shared" si="0"/>
        <v>1.5724081043460326E-2</v>
      </c>
      <c r="D19" s="2">
        <f>AVERAGEIFS(ClientData[YTD Return %],ClientData[Region],$A19)</f>
        <v>8.6</v>
      </c>
      <c r="E19" s="4">
        <f>COUNTIFS(ClientData[Region],$A19)</f>
        <v>1</v>
      </c>
      <c r="G19" s="12" t="s">
        <v>206</v>
      </c>
      <c r="H19" s="13" t="s">
        <v>199</v>
      </c>
      <c r="I19" s="13" t="s">
        <v>200</v>
      </c>
      <c r="J19" s="13" t="s">
        <v>201</v>
      </c>
      <c r="K19" s="13" t="s">
        <v>202</v>
      </c>
      <c r="M19" t="str">
        <v>Hong Kong</v>
      </c>
      <c r="N19">
        <v>39.700000000000003</v>
      </c>
      <c r="P19">
        <v>550</v>
      </c>
      <c r="Q19">
        <v>5.4</v>
      </c>
      <c r="R19">
        <v>24.9</v>
      </c>
    </row>
    <row r="20" spans="1:18" x14ac:dyDescent="0.25">
      <c r="A20" t="s">
        <v>102</v>
      </c>
      <c r="B20" s="1">
        <f>SUMIFS(ClientData[Revenue Contribution (USD mm)],ClientData[Region],$A20)</f>
        <v>51.8</v>
      </c>
      <c r="C20" s="15">
        <f t="shared" si="0"/>
        <v>2.6705160591844093E-2</v>
      </c>
      <c r="D20" s="2">
        <f>AVERAGEIFS(ClientData[YTD Return %],ClientData[Region],$A20)</f>
        <v>14.1</v>
      </c>
      <c r="E20" s="4">
        <f>COUNTIFS(ClientData[Region],$A20)</f>
        <v>1</v>
      </c>
      <c r="G20" t="s">
        <v>14</v>
      </c>
      <c r="H20" s="1">
        <f>SUMIFS(ClientData[Revenue Contribution (USD mm)],ClientData[Relationship Tier],$G20)</f>
        <v>808.90000000000009</v>
      </c>
      <c r="I20" s="15">
        <f>H20/$B$30</f>
        <v>0.4170232510181987</v>
      </c>
      <c r="J20" s="2">
        <f>AVERAGEIFS(ClientData[YTD Return %],ClientData[Relationship Tier],$G20)</f>
        <v>10.30625</v>
      </c>
      <c r="K20" s="4">
        <f>COUNTIFS(ClientData[Relationship Tier],$G20)</f>
        <v>16</v>
      </c>
      <c r="M20" t="str">
        <v>Qatar</v>
      </c>
      <c r="N20">
        <v>34.9</v>
      </c>
      <c r="P20">
        <v>124</v>
      </c>
      <c r="Q20">
        <v>12.9</v>
      </c>
      <c r="R20">
        <v>53.2</v>
      </c>
    </row>
    <row r="21" spans="1:18" x14ac:dyDescent="0.25">
      <c r="A21" t="s">
        <v>108</v>
      </c>
      <c r="B21" s="1">
        <f>SUMIFS(ClientData[Revenue Contribution (USD mm)],ClientData[Region],$A21)</f>
        <v>26.8</v>
      </c>
      <c r="C21" s="15">
        <f t="shared" si="0"/>
        <v>1.381656957261432E-2</v>
      </c>
      <c r="D21" s="2">
        <f>AVERAGEIFS(ClientData[YTD Return %],ClientData[Region],$A21)</f>
        <v>5.7</v>
      </c>
      <c r="E21" s="4">
        <f>COUNTIFS(ClientData[Region],$A21)</f>
        <v>1</v>
      </c>
      <c r="G21" t="s">
        <v>25</v>
      </c>
      <c r="H21" s="1">
        <f>SUMIFS(ClientData[Revenue Contribution (USD mm)],ClientData[Relationship Tier],$G21)</f>
        <v>667.8</v>
      </c>
      <c r="I21" s="15">
        <f t="shared" ref="I21:I24" si="2">H21/$B$30</f>
        <v>0.34428004330566575</v>
      </c>
      <c r="J21" s="2">
        <f>AVERAGEIFS(ClientData[YTD Return %],ClientData[Relationship Tier],$G21)</f>
        <v>7.6049999999999986</v>
      </c>
      <c r="K21" s="4">
        <f>COUNTIFS(ClientData[Relationship Tier],$G21)</f>
        <v>20</v>
      </c>
      <c r="M21" t="str">
        <v>Kuwait</v>
      </c>
      <c r="N21">
        <v>30.5</v>
      </c>
      <c r="P21">
        <v>68</v>
      </c>
      <c r="Q21">
        <v>13.5</v>
      </c>
      <c r="R21">
        <v>49.6</v>
      </c>
    </row>
    <row r="22" spans="1:18" x14ac:dyDescent="0.25">
      <c r="A22" t="s">
        <v>128</v>
      </c>
      <c r="B22" s="1">
        <f>SUMIFS(ClientData[Revenue Contribution (USD mm)],ClientData[Region],$A22)</f>
        <v>20.6</v>
      </c>
      <c r="C22" s="15">
        <f t="shared" si="0"/>
        <v>1.0620198999845336E-2</v>
      </c>
      <c r="D22" s="2">
        <f>AVERAGEIFS(ClientData[YTD Return %],ClientData[Region],$A22)</f>
        <v>4.5</v>
      </c>
      <c r="E22" s="4">
        <f>COUNTIFS(ClientData[Region],$A22)</f>
        <v>1</v>
      </c>
      <c r="G22" t="s">
        <v>58</v>
      </c>
      <c r="H22" s="1">
        <f>SUMIFS(ClientData[Revenue Contribution (USD mm)],ClientData[Relationship Tier],$G22)</f>
        <v>326.99999999999994</v>
      </c>
      <c r="I22" s="15">
        <f t="shared" si="2"/>
        <v>0.16858277053152543</v>
      </c>
      <c r="J22" s="2">
        <f>AVERAGEIFS(ClientData[YTD Return %],ClientData[Relationship Tier],$G22)</f>
        <v>6.626666666666666</v>
      </c>
      <c r="K22" s="4">
        <f>COUNTIFS(ClientData[Relationship Tier],$G22)</f>
        <v>15</v>
      </c>
      <c r="M22" t="str">
        <v>Germany</v>
      </c>
      <c r="N22">
        <v>29.7</v>
      </c>
      <c r="P22">
        <v>730</v>
      </c>
      <c r="Q22">
        <v>6</v>
      </c>
      <c r="R22">
        <v>26.3</v>
      </c>
    </row>
    <row r="23" spans="1:18" x14ac:dyDescent="0.25">
      <c r="A23" t="s">
        <v>131</v>
      </c>
      <c r="B23" s="1">
        <f>SUMIFS(ClientData[Revenue Contribution (USD mm)],ClientData[Region],$A23)</f>
        <v>15.4</v>
      </c>
      <c r="C23" s="15">
        <f t="shared" si="0"/>
        <v>7.9393720678455418E-3</v>
      </c>
      <c r="D23" s="2">
        <f>AVERAGEIFS(ClientData[YTD Return %],ClientData[Region],$A23)</f>
        <v>7.9</v>
      </c>
      <c r="E23" s="4">
        <f>COUNTIFS(ClientData[Region],$A23)</f>
        <v>1</v>
      </c>
      <c r="G23" t="s">
        <v>105</v>
      </c>
      <c r="H23" s="1">
        <f>SUMIFS(ClientData[Revenue Contribution (USD mm)],ClientData[Relationship Tier],$G23)</f>
        <v>136.00000000000003</v>
      </c>
      <c r="I23" s="15">
        <f t="shared" si="2"/>
        <v>7.0113935144609993E-2</v>
      </c>
      <c r="J23" s="2">
        <f>AVERAGEIFS(ClientData[YTD Return %],ClientData[Relationship Tier],$G23)</f>
        <v>6.4666666666666677</v>
      </c>
      <c r="K23" s="4">
        <f>COUNTIFS(ClientData[Relationship Tier],$G23)</f>
        <v>9</v>
      </c>
      <c r="M23" t="str">
        <v>France</v>
      </c>
      <c r="N23">
        <v>26.8</v>
      </c>
      <c r="P23">
        <v>480</v>
      </c>
      <c r="Q23">
        <v>5.0999999999999996</v>
      </c>
      <c r="R23">
        <v>19.8</v>
      </c>
    </row>
    <row r="24" spans="1:18" x14ac:dyDescent="0.25">
      <c r="A24" t="s">
        <v>138</v>
      </c>
      <c r="B24" s="1">
        <f>SUMIFS(ClientData[Revenue Contribution (USD mm)],ClientData[Region],$A24)</f>
        <v>47.9</v>
      </c>
      <c r="C24" s="15">
        <f t="shared" si="0"/>
        <v>2.4694540392844251E-2</v>
      </c>
      <c r="D24" s="2">
        <f>AVERAGEIFS(ClientData[YTD Return %],ClientData[Region],$A24)</f>
        <v>10.8</v>
      </c>
      <c r="E24" s="4">
        <f>COUNTIFS(ClientData[Region],$A24)</f>
        <v>1</v>
      </c>
      <c r="G24" s="12" t="s">
        <v>203</v>
      </c>
      <c r="H24" s="14">
        <f>SUM(H20:H23)</f>
        <v>1939.7</v>
      </c>
      <c r="I24" s="16">
        <f>H24/$B$30</f>
        <v>0.99999999999999989</v>
      </c>
      <c r="J24" s="17">
        <f>AVERAGE(ClientData[YTD Return %])</f>
        <v>7.9099999999999984</v>
      </c>
      <c r="K24" s="18">
        <f>SUM(K20:K23)</f>
        <v>60</v>
      </c>
      <c r="M24" t="str">
        <v>Switzerland</v>
      </c>
      <c r="N24">
        <v>20.6</v>
      </c>
      <c r="P24">
        <v>160</v>
      </c>
      <c r="Q24">
        <v>8.8000000000000007</v>
      </c>
      <c r="R24">
        <v>21.4</v>
      </c>
    </row>
    <row r="25" spans="1:18" x14ac:dyDescent="0.25">
      <c r="A25" t="s">
        <v>152</v>
      </c>
      <c r="B25" s="1">
        <f>SUMIFS(ClientData[Revenue Contribution (USD mm)],ClientData[Region],$A25)</f>
        <v>34.9</v>
      </c>
      <c r="C25" s="15">
        <f t="shared" si="0"/>
        <v>1.7992473062844766E-2</v>
      </c>
      <c r="D25" s="2">
        <f>AVERAGEIFS(ClientData[YTD Return %],ClientData[Region],$A25)</f>
        <v>9.1</v>
      </c>
      <c r="E25" s="4">
        <f>COUNTIFS(ClientData[Region],$A25)</f>
        <v>1</v>
      </c>
      <c r="M25" t="str">
        <v>New Zealand</v>
      </c>
      <c r="N25">
        <v>18.899999999999999</v>
      </c>
      <c r="P25">
        <v>1150</v>
      </c>
      <c r="Q25">
        <v>4.9000000000000004</v>
      </c>
      <c r="R25">
        <v>28.1</v>
      </c>
    </row>
    <row r="26" spans="1:18" x14ac:dyDescent="0.25">
      <c r="A26" t="s">
        <v>172</v>
      </c>
      <c r="B26" s="1">
        <f>SUMIFS(ClientData[Revenue Contribution (USD mm)],ClientData[Region],$A26)</f>
        <v>39.700000000000003</v>
      </c>
      <c r="C26" s="15">
        <f t="shared" si="0"/>
        <v>2.0467082538536886E-2</v>
      </c>
      <c r="D26" s="2">
        <f>AVERAGEIFS(ClientData[YTD Return %],ClientData[Region],$A26)</f>
        <v>7.7</v>
      </c>
      <c r="E26" s="4">
        <f>COUNTIFS(ClientData[Region],$A26)</f>
        <v>1</v>
      </c>
      <c r="G26" s="19" t="s">
        <v>207</v>
      </c>
      <c r="H26" s="19"/>
      <c r="I26" s="19"/>
      <c r="J26" s="19"/>
      <c r="K26" s="19"/>
      <c r="M26" t="str">
        <v>Malaysia</v>
      </c>
      <c r="N26">
        <v>15.4</v>
      </c>
      <c r="P26">
        <v>60</v>
      </c>
      <c r="Q26">
        <v>11.2</v>
      </c>
      <c r="R26">
        <v>44.7</v>
      </c>
    </row>
    <row r="27" spans="1:18" x14ac:dyDescent="0.25">
      <c r="A27" t="s">
        <v>185</v>
      </c>
      <c r="B27" s="1">
        <f>SUMIFS(ClientData[Revenue Contribution (USD mm)],ClientData[Region],$A27)</f>
        <v>12.4</v>
      </c>
      <c r="C27" s="15">
        <f t="shared" si="0"/>
        <v>6.3927411455379692E-3</v>
      </c>
      <c r="D27" s="2">
        <f>AVERAGEIFS(ClientData[YTD Return %],ClientData[Region],$A27)</f>
        <v>5</v>
      </c>
      <c r="E27" s="4">
        <f>COUNTIFS(ClientData[Region],$A27)</f>
        <v>1</v>
      </c>
      <c r="G27" s="12" t="s">
        <v>113</v>
      </c>
      <c r="H27" s="13" t="s">
        <v>199</v>
      </c>
      <c r="I27" s="13" t="s">
        <v>200</v>
      </c>
      <c r="J27" s="13" t="s">
        <v>201</v>
      </c>
      <c r="K27" s="13" t="s">
        <v>202</v>
      </c>
      <c r="M27" t="str">
        <v>Sweden</v>
      </c>
      <c r="N27">
        <v>12.4</v>
      </c>
      <c r="P27">
        <v>280</v>
      </c>
      <c r="Q27">
        <v>9.4</v>
      </c>
      <c r="R27">
        <v>31.9</v>
      </c>
    </row>
    <row r="28" spans="1:18" x14ac:dyDescent="0.25">
      <c r="A28" t="s">
        <v>190</v>
      </c>
      <c r="B28" s="1">
        <f>SUMIFS(ClientData[Revenue Contribution (USD mm)],ClientData[Region],$A28)</f>
        <v>11.8</v>
      </c>
      <c r="C28" s="15">
        <f t="shared" si="0"/>
        <v>6.0834149610764551E-3</v>
      </c>
      <c r="D28" s="2">
        <f>AVERAGEIFS(ClientData[YTD Return %],ClientData[Region],$A28)</f>
        <v>7.2</v>
      </c>
      <c r="E28" s="4">
        <f>COUNTIFS(ClientData[Region],$A28)</f>
        <v>1</v>
      </c>
      <c r="G28" t="s">
        <v>119</v>
      </c>
      <c r="H28" s="1">
        <f>SUMIFS(ClientData[Revenue Contribution (USD mm)],ClientData[Coverage Banker],$G28)</f>
        <v>564.80000000000007</v>
      </c>
      <c r="I28" s="15">
        <f>H28/$B$30</f>
        <v>0.29117904830643915</v>
      </c>
      <c r="J28" s="2">
        <f>AVERAGEIFS(ClientData[YTD Return %],ClientData[Coverage Banker],$G28)</f>
        <v>9.8923076923076891</v>
      </c>
      <c r="K28" s="4">
        <f>COUNTIFS(ClientData[Coverage Banker],$G28)</f>
        <v>13</v>
      </c>
      <c r="M28" t="str">
        <v>South Africa</v>
      </c>
      <c r="N28">
        <v>11.8</v>
      </c>
      <c r="P28">
        <v>700</v>
      </c>
      <c r="Q28">
        <v>3.8</v>
      </c>
      <c r="R28">
        <v>23.5</v>
      </c>
    </row>
    <row r="29" spans="1:18" x14ac:dyDescent="0.25">
      <c r="A29" t="s">
        <v>193</v>
      </c>
      <c r="B29" s="1">
        <f>SUMIFS(ClientData[Revenue Contribution (USD mm)],ClientData[Region],$A29)</f>
        <v>18.899999999999999</v>
      </c>
      <c r="C29" s="15">
        <f t="shared" si="0"/>
        <v>9.7437748105377101E-3</v>
      </c>
      <c r="D29" s="2">
        <f>AVERAGEIFS(ClientData[YTD Return %],ClientData[Region],$A29)</f>
        <v>9.3000000000000007</v>
      </c>
      <c r="E29" s="4">
        <f>COUNTIFS(ClientData[Region],$A29)</f>
        <v>1</v>
      </c>
      <c r="G29" t="s">
        <v>116</v>
      </c>
      <c r="H29" s="1">
        <f>SUMIFS(ClientData[Revenue Contribution (USD mm)],ClientData[Coverage Banker],$G29)</f>
        <v>131</v>
      </c>
      <c r="I29" s="15">
        <f t="shared" ref="I29:I38" si="3">H29/$B$30</f>
        <v>6.7536216940764032E-2</v>
      </c>
      <c r="J29" s="2">
        <f>AVERAGEIFS(ClientData[YTD Return %],ClientData[Coverage Banker],$G29)</f>
        <v>9.5333333333333332</v>
      </c>
      <c r="K29" s="4">
        <f>COUNTIFS(ClientData[Coverage Banker],$G29)</f>
        <v>3</v>
      </c>
      <c r="P29">
        <v>300</v>
      </c>
      <c r="Q29">
        <v>5.6</v>
      </c>
      <c r="R29">
        <v>18.2</v>
      </c>
    </row>
    <row r="30" spans="1:18" x14ac:dyDescent="0.25">
      <c r="A30" s="12" t="s">
        <v>203</v>
      </c>
      <c r="B30" s="14">
        <f>SUM(B6:B29)</f>
        <v>1939.7000000000003</v>
      </c>
      <c r="C30" s="16">
        <f>B30/$B$30</f>
        <v>1</v>
      </c>
      <c r="D30" s="17">
        <f>AVERAGE(ClientData[YTD Return %])</f>
        <v>7.9099999999999984</v>
      </c>
      <c r="E30" s="18">
        <f>SUM(E6:E29)</f>
        <v>60</v>
      </c>
      <c r="G30" t="s">
        <v>117</v>
      </c>
      <c r="H30" s="1">
        <f>SUMIFS(ClientData[Revenue Contribution (USD mm)],ClientData[Coverage Banker],$G30)</f>
        <v>154.5</v>
      </c>
      <c r="I30" s="15">
        <f t="shared" si="3"/>
        <v>7.9651492498840015E-2</v>
      </c>
      <c r="J30" s="2">
        <f>AVERAGEIFS(ClientData[YTD Return %],ClientData[Coverage Banker],$G30)</f>
        <v>6.2249999999999996</v>
      </c>
      <c r="K30" s="4">
        <f>COUNTIFS(ClientData[Coverage Banker],$G30)</f>
        <v>4</v>
      </c>
      <c r="P30">
        <v>1200</v>
      </c>
      <c r="Q30">
        <v>7.3</v>
      </c>
      <c r="R30">
        <v>34.6</v>
      </c>
    </row>
    <row r="31" spans="1:18" x14ac:dyDescent="0.25">
      <c r="G31" t="s">
        <v>120</v>
      </c>
      <c r="H31" s="1">
        <f>SUMIFS(ClientData[Revenue Contribution (USD mm)],ClientData[Coverage Banker],$G31)</f>
        <v>175.7</v>
      </c>
      <c r="I31" s="15">
        <f t="shared" si="3"/>
        <v>9.0581017683146858E-2</v>
      </c>
      <c r="J31" s="2">
        <f>AVERAGEIFS(ClientData[YTD Return %],ClientData[Coverage Banker],$G31)</f>
        <v>6.2857142857142856</v>
      </c>
      <c r="K31" s="4">
        <f>COUNTIFS(ClientData[Coverage Banker],$G31)</f>
        <v>7</v>
      </c>
      <c r="P31">
        <v>800</v>
      </c>
      <c r="Q31">
        <v>8.6</v>
      </c>
      <c r="R31">
        <v>30.5</v>
      </c>
    </row>
    <row r="32" spans="1:18" x14ac:dyDescent="0.25">
      <c r="G32" t="s">
        <v>121</v>
      </c>
      <c r="H32" s="1">
        <f>SUMIFS(ClientData[Revenue Contribution (USD mm)],ClientData[Coverage Banker],$G32)</f>
        <v>175.2</v>
      </c>
      <c r="I32" s="15">
        <f t="shared" si="3"/>
        <v>9.0323245862762261E-2</v>
      </c>
      <c r="J32" s="2">
        <f>AVERAGEIFS(ClientData[YTD Return %],ClientData[Coverage Banker],$G32)</f>
        <v>6.6714285714285708</v>
      </c>
      <c r="K32" s="4">
        <f>COUNTIFS(ClientData[Coverage Banker],$G32)</f>
        <v>7</v>
      </c>
      <c r="P32">
        <v>63</v>
      </c>
      <c r="Q32">
        <v>14.1</v>
      </c>
      <c r="R32">
        <v>51.8</v>
      </c>
    </row>
    <row r="33" spans="7:18" x14ac:dyDescent="0.25">
      <c r="G33" t="s">
        <v>122</v>
      </c>
      <c r="H33" s="1">
        <f>SUMIFS(ClientData[Revenue Contribution (USD mm)],ClientData[Coverage Banker],$G33)</f>
        <v>190.3</v>
      </c>
      <c r="I33" s="15">
        <f t="shared" si="3"/>
        <v>9.8107954838377059E-2</v>
      </c>
      <c r="J33" s="2">
        <f>AVERAGEIFS(ClientData[YTD Return %],ClientData[Coverage Banker],$G33)</f>
        <v>9.56</v>
      </c>
      <c r="K33" s="4">
        <f>COUNTIFS(ClientData[Coverage Banker],$G33)</f>
        <v>5</v>
      </c>
      <c r="P33">
        <v>95</v>
      </c>
      <c r="Q33">
        <v>6.1</v>
      </c>
      <c r="R33">
        <v>17.3</v>
      </c>
    </row>
    <row r="34" spans="7:18" x14ac:dyDescent="0.25">
      <c r="G34" t="s">
        <v>123</v>
      </c>
      <c r="H34" s="1">
        <f>SUMIFS(ClientData[Revenue Contribution (USD mm)],ClientData[Coverage Banker],$G34)</f>
        <v>150.90000000000003</v>
      </c>
      <c r="I34" s="15">
        <f t="shared" si="3"/>
        <v>7.7795535392070944E-2</v>
      </c>
      <c r="J34" s="2">
        <f>AVERAGEIFS(ClientData[YTD Return %],ClientData[Coverage Banker],$G34)</f>
        <v>7.4625000000000004</v>
      </c>
      <c r="K34" s="4">
        <f>COUNTIFS(ClientData[Coverage Banker],$G34)</f>
        <v>8</v>
      </c>
      <c r="P34">
        <v>2000</v>
      </c>
      <c r="Q34">
        <v>5.7</v>
      </c>
      <c r="R34">
        <v>26.8</v>
      </c>
    </row>
    <row r="35" spans="7:18" x14ac:dyDescent="0.25">
      <c r="G35" t="s">
        <v>124</v>
      </c>
      <c r="H35" s="1">
        <f>SUMIFS(ClientData[Revenue Contribution (USD mm)],ClientData[Coverage Banker],$G35)</f>
        <v>213.70000000000002</v>
      </c>
      <c r="I35" s="15">
        <f t="shared" si="3"/>
        <v>0.11017167603237614</v>
      </c>
      <c r="J35" s="2">
        <f>AVERAGEIFS(ClientData[YTD Return %],ClientData[Coverage Banker],$G35)</f>
        <v>7.0888888888888903</v>
      </c>
      <c r="K35" s="4">
        <f>COUNTIFS(ClientData[Coverage Banker],$G35)</f>
        <v>9</v>
      </c>
      <c r="P35">
        <v>1800</v>
      </c>
      <c r="Q35">
        <v>7</v>
      </c>
      <c r="R35">
        <v>40.200000000000003</v>
      </c>
    </row>
    <row r="36" spans="7:18" x14ac:dyDescent="0.25">
      <c r="G36" t="s">
        <v>115</v>
      </c>
      <c r="H36" s="1">
        <f>SUMIFS(ClientData[Revenue Contribution (USD mm)],ClientData[Coverage Banker],$G36)</f>
        <v>121.69999999999999</v>
      </c>
      <c r="I36" s="15">
        <f t="shared" si="3"/>
        <v>6.2741661081610542E-2</v>
      </c>
      <c r="J36" s="2">
        <f>AVERAGEIFS(ClientData[YTD Return %],ClientData[Coverage Banker],$G36)</f>
        <v>6.7</v>
      </c>
      <c r="K36" s="4">
        <f>COUNTIFS(ClientData[Coverage Banker],$G36)</f>
        <v>3</v>
      </c>
      <c r="P36">
        <v>210</v>
      </c>
      <c r="Q36">
        <v>4.5</v>
      </c>
      <c r="R36">
        <v>20.6</v>
      </c>
    </row>
    <row r="37" spans="7:18" x14ac:dyDescent="0.25">
      <c r="G37" t="s">
        <v>118</v>
      </c>
      <c r="H37" s="1">
        <f>SUMIFS(ClientData[Revenue Contribution (USD mm)],ClientData[Coverage Banker],$G37)</f>
        <v>61.9</v>
      </c>
      <c r="I37" s="15">
        <f t="shared" si="3"/>
        <v>3.1912151363612924E-2</v>
      </c>
      <c r="J37" s="2">
        <f>AVERAGEIFS(ClientData[YTD Return %],ClientData[Coverage Banker],$G37)</f>
        <v>10.4</v>
      </c>
      <c r="K37" s="4">
        <f>COUNTIFS(ClientData[Coverage Banker],$G37)</f>
        <v>1</v>
      </c>
      <c r="P37">
        <v>40</v>
      </c>
      <c r="Q37">
        <v>7.9</v>
      </c>
      <c r="R37">
        <v>15.4</v>
      </c>
    </row>
    <row r="38" spans="7:18" x14ac:dyDescent="0.25">
      <c r="G38" s="12" t="s">
        <v>203</v>
      </c>
      <c r="H38" s="14">
        <f>SUM(H28:H37)</f>
        <v>1939.7000000000003</v>
      </c>
      <c r="I38" s="16">
        <f>H38/$B$30</f>
        <v>1</v>
      </c>
      <c r="J38" s="17">
        <f>AVERAGE(ClientData[YTD Return %])</f>
        <v>7.9099999999999984</v>
      </c>
      <c r="K38" s="18">
        <f>SUM(K28:K37)</f>
        <v>60</v>
      </c>
      <c r="P38">
        <v>1450</v>
      </c>
      <c r="Q38">
        <v>6.3</v>
      </c>
      <c r="R38">
        <v>25.1</v>
      </c>
    </row>
    <row r="39" spans="7:18" x14ac:dyDescent="0.25">
      <c r="P39">
        <v>330</v>
      </c>
      <c r="Q39">
        <v>7.4</v>
      </c>
      <c r="R39">
        <v>23.8</v>
      </c>
    </row>
    <row r="40" spans="7:18" x14ac:dyDescent="0.25">
      <c r="P40">
        <v>700</v>
      </c>
      <c r="Q40">
        <v>10.8</v>
      </c>
      <c r="R40">
        <v>47.9</v>
      </c>
    </row>
    <row r="41" spans="7:18" x14ac:dyDescent="0.25">
      <c r="P41">
        <v>610</v>
      </c>
      <c r="Q41">
        <v>6.7</v>
      </c>
      <c r="R41">
        <v>18.899999999999999</v>
      </c>
    </row>
    <row r="42" spans="7:18" x14ac:dyDescent="0.25">
      <c r="P42">
        <v>950</v>
      </c>
      <c r="Q42">
        <v>6.9</v>
      </c>
      <c r="R42">
        <v>32.4</v>
      </c>
    </row>
    <row r="43" spans="7:18" x14ac:dyDescent="0.25">
      <c r="P43">
        <v>65</v>
      </c>
      <c r="Q43">
        <v>12.1</v>
      </c>
      <c r="R43">
        <v>46.3</v>
      </c>
    </row>
    <row r="44" spans="7:18" x14ac:dyDescent="0.25">
      <c r="P44">
        <v>110</v>
      </c>
      <c r="Q44">
        <v>8</v>
      </c>
      <c r="R44">
        <v>16.7</v>
      </c>
    </row>
    <row r="45" spans="7:18" x14ac:dyDescent="0.25">
      <c r="P45">
        <v>1500</v>
      </c>
      <c r="Q45">
        <v>5.8</v>
      </c>
      <c r="R45">
        <v>22.9</v>
      </c>
    </row>
    <row r="46" spans="7:18" x14ac:dyDescent="0.25">
      <c r="P46">
        <v>450</v>
      </c>
      <c r="Q46">
        <v>9.1</v>
      </c>
      <c r="R46">
        <v>34.9</v>
      </c>
    </row>
    <row r="47" spans="7:18" x14ac:dyDescent="0.25">
      <c r="P47">
        <v>1400</v>
      </c>
      <c r="Q47">
        <v>7.5</v>
      </c>
      <c r="R47">
        <v>29.3</v>
      </c>
    </row>
    <row r="48" spans="7:18" x14ac:dyDescent="0.25">
      <c r="P48">
        <v>120</v>
      </c>
      <c r="Q48">
        <v>6.4</v>
      </c>
      <c r="R48">
        <v>19.600000000000001</v>
      </c>
    </row>
    <row r="49" spans="16:18" x14ac:dyDescent="0.25">
      <c r="P49">
        <v>240</v>
      </c>
      <c r="Q49">
        <v>9.6</v>
      </c>
      <c r="R49">
        <v>21.2</v>
      </c>
    </row>
    <row r="50" spans="16:18" x14ac:dyDescent="0.25">
      <c r="P50">
        <v>99</v>
      </c>
      <c r="Q50">
        <v>10.199999999999999</v>
      </c>
      <c r="R50">
        <v>38.5</v>
      </c>
    </row>
    <row r="51" spans="16:18" x14ac:dyDescent="0.25">
      <c r="P51">
        <v>260</v>
      </c>
      <c r="Q51">
        <v>4.0999999999999996</v>
      </c>
      <c r="R51">
        <v>17.8</v>
      </c>
    </row>
    <row r="52" spans="16:18" x14ac:dyDescent="0.25">
      <c r="P52">
        <v>45</v>
      </c>
      <c r="Q52">
        <v>8.3000000000000007</v>
      </c>
      <c r="R52">
        <v>14.9</v>
      </c>
    </row>
    <row r="53" spans="16:18" x14ac:dyDescent="0.25">
      <c r="P53">
        <v>34</v>
      </c>
      <c r="Q53">
        <v>11.9</v>
      </c>
      <c r="R53">
        <v>43.1</v>
      </c>
    </row>
    <row r="54" spans="16:18" x14ac:dyDescent="0.25">
      <c r="P54">
        <v>260</v>
      </c>
      <c r="Q54">
        <v>6.6</v>
      </c>
      <c r="R54">
        <v>24.4</v>
      </c>
    </row>
    <row r="55" spans="16:18" x14ac:dyDescent="0.25">
      <c r="P55">
        <v>590</v>
      </c>
      <c r="Q55">
        <v>7.7</v>
      </c>
      <c r="R55">
        <v>39.700000000000003</v>
      </c>
    </row>
    <row r="56" spans="16:18" x14ac:dyDescent="0.25">
      <c r="P56">
        <v>78</v>
      </c>
      <c r="Q56">
        <v>9.6999999999999993</v>
      </c>
      <c r="R56">
        <v>30.8</v>
      </c>
    </row>
    <row r="57" spans="16:18" x14ac:dyDescent="0.25">
      <c r="P57">
        <v>360</v>
      </c>
      <c r="Q57">
        <v>4.7</v>
      </c>
      <c r="R57">
        <v>16.100000000000001</v>
      </c>
    </row>
    <row r="58" spans="16:18" x14ac:dyDescent="0.25">
      <c r="P58">
        <v>25</v>
      </c>
      <c r="Q58">
        <v>6.9</v>
      </c>
      <c r="R58">
        <v>13.6</v>
      </c>
    </row>
    <row r="59" spans="16:18" x14ac:dyDescent="0.25">
      <c r="P59">
        <v>2300</v>
      </c>
      <c r="Q59">
        <v>7.9</v>
      </c>
      <c r="R59">
        <v>44.2</v>
      </c>
    </row>
    <row r="60" spans="16:18" x14ac:dyDescent="0.25">
      <c r="P60">
        <v>1500</v>
      </c>
      <c r="Q60">
        <v>8.5</v>
      </c>
      <c r="R60">
        <v>55.6</v>
      </c>
    </row>
    <row r="61" spans="16:18" x14ac:dyDescent="0.25">
      <c r="P61">
        <v>55</v>
      </c>
      <c r="Q61">
        <v>5</v>
      </c>
      <c r="R61">
        <v>12.4</v>
      </c>
    </row>
    <row r="62" spans="16:18" x14ac:dyDescent="0.25">
      <c r="P62">
        <v>36</v>
      </c>
      <c r="Q62">
        <v>12.4</v>
      </c>
      <c r="R62">
        <v>41.7</v>
      </c>
    </row>
    <row r="63" spans="16:18" x14ac:dyDescent="0.25">
      <c r="P63">
        <v>160</v>
      </c>
      <c r="Q63">
        <v>7.2</v>
      </c>
      <c r="R63">
        <v>11.8</v>
      </c>
    </row>
    <row r="64" spans="16:18" x14ac:dyDescent="0.25">
      <c r="P64">
        <v>45</v>
      </c>
      <c r="Q64">
        <v>9.3000000000000007</v>
      </c>
      <c r="R64">
        <v>18.899999999999999</v>
      </c>
    </row>
  </sheetData>
  <mergeCells count="4">
    <mergeCell ref="A4:E4"/>
    <mergeCell ref="G4:K4"/>
    <mergeCell ref="G18:K18"/>
    <mergeCell ref="G26:K2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F82F0-3993-4864-A3F4-5D202A7344EC}">
  <sheetPr>
    <tabColor rgb="FF0F3D52"/>
  </sheetPr>
  <dimension ref="B2:K42"/>
  <sheetViews>
    <sheetView showGridLines="0" topLeftCell="A12" workbookViewId="0">
      <selection activeCell="P21" sqref="P21"/>
    </sheetView>
  </sheetViews>
  <sheetFormatPr defaultRowHeight="15" x14ac:dyDescent="0.25"/>
  <sheetData>
    <row r="2" spans="2:11" ht="26.25" x14ac:dyDescent="0.4">
      <c r="B2" s="22" t="s">
        <v>211</v>
      </c>
      <c r="C2" s="21"/>
      <c r="D2" s="21"/>
      <c r="E2" s="21"/>
      <c r="F2" s="21"/>
      <c r="G2" s="21"/>
      <c r="H2" s="21"/>
      <c r="I2" s="21"/>
      <c r="J2" s="21"/>
      <c r="K2" s="21"/>
    </row>
    <row r="3" spans="2:11" x14ac:dyDescent="0.25">
      <c r="B3" s="23" t="s">
        <v>212</v>
      </c>
      <c r="C3" s="21"/>
      <c r="D3" s="21"/>
      <c r="E3" s="21"/>
      <c r="F3" s="21"/>
      <c r="G3" s="21"/>
      <c r="H3" s="21"/>
      <c r="I3" s="21"/>
      <c r="J3" s="21"/>
      <c r="K3" s="21"/>
    </row>
    <row r="5" spans="2:11" x14ac:dyDescent="0.25">
      <c r="B5" s="24" t="s">
        <v>213</v>
      </c>
      <c r="C5" s="24"/>
      <c r="D5" s="24" t="s">
        <v>214</v>
      </c>
      <c r="E5" s="24"/>
      <c r="F5" s="24" t="s">
        <v>201</v>
      </c>
      <c r="G5" s="24"/>
      <c r="H5" s="26" t="s">
        <v>215</v>
      </c>
      <c r="I5" s="26"/>
      <c r="J5" s="26" t="s">
        <v>216</v>
      </c>
      <c r="K5" s="26"/>
    </row>
    <row r="6" spans="2:11" x14ac:dyDescent="0.25">
      <c r="B6" s="31">
        <f>SUM(ClientData[Revenue Contribution (USD mm)])</f>
        <v>1939.7000000000003</v>
      </c>
      <c r="C6" s="25"/>
      <c r="D6" s="32">
        <f>SUM(ClientData[AUM (USD bn)])</f>
        <v>38687</v>
      </c>
      <c r="E6" s="25"/>
      <c r="F6" s="33">
        <f>AVERAGE(ClientData[YTD Return %])</f>
        <v>7.9099999999999984</v>
      </c>
      <c r="G6" s="25"/>
      <c r="H6" s="34">
        <f>COUNTA(ClientData[Client Name])</f>
        <v>60</v>
      </c>
      <c r="I6" s="25"/>
      <c r="J6" s="35" t="str">
        <f>INDEX(ClientData[Client Name],MATCH(MAX(ClientData[Revenue Contribution (USD mm)]),ClientData[Revenue Contribution (USD mm)],0))</f>
        <v>BlackRock</v>
      </c>
      <c r="K6" s="27"/>
    </row>
    <row r="7" spans="2:11" x14ac:dyDescent="0.25">
      <c r="B7" s="25"/>
      <c r="C7" s="25"/>
      <c r="D7" s="25"/>
      <c r="E7" s="25"/>
      <c r="F7" s="25"/>
      <c r="G7" s="25"/>
      <c r="H7" s="25"/>
      <c r="I7" s="25"/>
      <c r="J7" s="27"/>
      <c r="K7" s="27"/>
    </row>
    <row r="37" spans="2:11" ht="21.95" customHeight="1" x14ac:dyDescent="0.25">
      <c r="B37" s="28" t="s">
        <v>220</v>
      </c>
      <c r="C37" s="28"/>
      <c r="D37" s="28"/>
      <c r="E37" s="28"/>
      <c r="F37" s="28"/>
      <c r="G37" s="28"/>
      <c r="H37" s="28"/>
      <c r="I37" s="28"/>
      <c r="J37" s="28"/>
      <c r="K37" s="28"/>
    </row>
    <row r="38" spans="2:11" ht="33.950000000000003" customHeight="1" x14ac:dyDescent="0.25">
      <c r="B38" s="29" t="str">
        <f>"CONCENTRATION  —  Top 10 clients drive "&amp;TEXT(Analysis!W7,"0%")&amp;" of revenue and the Platinum tier alone "&amp;TEXT(Analysis!I20,"0%")&amp;" from just "&amp;Analysis!K20&amp;" of 60 relationships. The book is concentrated and relationship-led."</f>
        <v>CONCENTRATION  —  Top 10 clients drive 28% of revenue and the Platinum tier alone 42% from just 16 of 60 relationships. The book is concentrated and relationship-led.</v>
      </c>
      <c r="C38" s="29"/>
      <c r="D38" s="29"/>
      <c r="E38" s="29"/>
      <c r="F38" s="29"/>
      <c r="G38" s="29"/>
      <c r="H38" s="29"/>
      <c r="I38" s="29"/>
      <c r="J38" s="29"/>
      <c r="K38" s="29"/>
    </row>
    <row r="39" spans="2:11" ht="33.950000000000003" customHeight="1" x14ac:dyDescent="0.25"/>
    <row r="40" spans="2:11" ht="33.950000000000003" customHeight="1" x14ac:dyDescent="0.25">
      <c r="B40" s="29" t="str">
        <f>"BEST RISK-ADJUSTED  —  Hedge funds are the most capital-efficient segment: avg YTD return "&amp;TEXT(Analysis!J9,"0.0")&amp;"% and Sharpe "&amp;TEXT(Analysis!W5,"0.00")&amp;" on the smallest AUM. Citadel &amp; Millennium lead on revenue per $bn AUM."</f>
        <v>BEST RISK-ADJUSTED  —  Hedge funds are the most capital-efficient segment: avg YTD return 12.0% and Sharpe 1.76 on the smallest AUM. Citadel &amp; Millennium lead on revenue per $bn AUM.</v>
      </c>
      <c r="C40" s="29"/>
      <c r="D40" s="29"/>
      <c r="E40" s="29"/>
      <c r="F40" s="29"/>
      <c r="G40" s="29"/>
      <c r="H40" s="29"/>
      <c r="I40" s="29"/>
      <c r="J40" s="29"/>
      <c r="K40" s="29"/>
    </row>
    <row r="41" spans="2:11" ht="33.950000000000003" customHeight="1" x14ac:dyDescent="0.25"/>
    <row r="42" spans="2:11" ht="33.950000000000003" customHeight="1" x14ac:dyDescent="0.25">
      <c r="B42" s="29" t="str">
        <f>"GROWTH OPPORTUNITY  —  "&amp;Analysis!W9&amp;" Silver/Bronze accounts (e.g. AustralianSuper, Khazanah, Aware Super) combine strong returns with clear tier-upgrade potential — the cleanest path to expand wallet share."</f>
        <v>GROWTH OPPORTUNITY  —  24 Silver/Bronze accounts (e.g. AustralianSuper, Khazanah, Aware Super) combine strong returns with clear tier-upgrade potential — the cleanest path to expand wallet share.</v>
      </c>
      <c r="C42" s="29"/>
      <c r="D42" s="29"/>
      <c r="E42" s="29"/>
      <c r="F42" s="29"/>
      <c r="G42" s="29"/>
      <c r="H42" s="29"/>
      <c r="I42" s="29"/>
      <c r="J42" s="29"/>
      <c r="K42" s="29"/>
    </row>
  </sheetData>
  <mergeCells count="16">
    <mergeCell ref="J5:K5"/>
    <mergeCell ref="J6:K7"/>
    <mergeCell ref="B37:K37"/>
    <mergeCell ref="B38:K38"/>
    <mergeCell ref="B40:K40"/>
    <mergeCell ref="B42:K42"/>
    <mergeCell ref="B2:K2"/>
    <mergeCell ref="B3:K3"/>
    <mergeCell ref="B5:C5"/>
    <mergeCell ref="B6:C7"/>
    <mergeCell ref="D5:E5"/>
    <mergeCell ref="D6:E7"/>
    <mergeCell ref="F5:G5"/>
    <mergeCell ref="F6:G7"/>
    <mergeCell ref="H5:I5"/>
    <mergeCell ref="H6:I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Analysis</vt:lpstr>
      <vt:lpstr>Dashboard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Ng</dc:creator>
  <cp:lastModifiedBy>Christian Ng</cp:lastModifiedBy>
  <dcterms:created xsi:type="dcterms:W3CDTF">2026-07-03T00:54:16Z</dcterms:created>
  <dcterms:modified xsi:type="dcterms:W3CDTF">2026-07-03T02:14:35Z</dcterms:modified>
</cp:coreProperties>
</file>